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255"/>
  </bookViews>
  <sheets>
    <sheet name="修改 " sheetId="1" r:id="rId1"/>
  </sheets>
  <definedNames>
    <definedName name="_xlnm._FilterDatabase" localSheetId="0" hidden="1">'修改 '!$A$3:$L$51</definedName>
    <definedName name="_xlnm.Print_Area" localSheetId="0">'修改 '!$A$1:$L$51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<sst xmlns="http://schemas.openxmlformats.org/spreadsheetml/2006/main" count="198" uniqueCount="130">
  <si>
    <t>工程量清单</t>
  </si>
  <si>
    <t>项目名称：上海至西安高速公路路口支线路基路面施工项目预制梁场及桥面系</t>
  </si>
  <si>
    <t>子目号</t>
  </si>
  <si>
    <t>子目名称</t>
  </si>
  <si>
    <t>单位</t>
  </si>
  <si>
    <t>数量
（暂定）</t>
  </si>
  <si>
    <t>税率（%）</t>
  </si>
  <si>
    <t>不含税单价（元）</t>
  </si>
  <si>
    <t>含税单价（元）</t>
  </si>
  <si>
    <t>不含税合价（元）</t>
  </si>
  <si>
    <t>含税合价（元）</t>
  </si>
  <si>
    <t>工作内容</t>
  </si>
  <si>
    <t>计量规则</t>
  </si>
  <si>
    <t>备注</t>
  </si>
  <si>
    <t>403-3-a</t>
  </si>
  <si>
    <t>光圆钢筋</t>
  </si>
  <si>
    <t>kg</t>
  </si>
  <si>
    <t>招标人仅提供钢筋，投标人的施工内容包含但不限于：
1、钢筋装卸、二次倒运、 除锈、预埋、绑扎入模成型、检测等内容所用到的人工、机具、焊条扎丝小材料、 电力、运输用到的设备（如人工搬运、叉车、运输炮车、汽车吊、塔吊、 门吊） 等一切费用（应按招标人及监理等相关单位要求配置人员、设备等）；
2、钢筋存放底部需垫槽钢或工字钢和覆盖帆布、套筒对接所用辅材自备，由于投标人对钢筋和半成品保管不善造成锈蚀等报废产生的损失由投标人承担；
3、包含但不限于预埋件、保护层垫块的制作安装及购买费用；
4、固定钢筋的材料、定位架立钢筋、钢筋接头、 吊装钢筋、钢板、铁丝作为钢筋作业的附属工作，不予计量，但计算到钢筋理论使用量内；
5、投标人报价内包含施工过程中所有机械（钢筋切割机、数控弯曲机、焊机、直螺纹刻丝机等） 、人工、耗材（焊条、连接钢套筒、燃油费等）等相关的一切明示和潜在的费用，包括但不限于钢筋的工地装卸车、运输（含水平运输及垂直运输）、材料机具的工地倒运、剩余用料的返还。
6、胎膜架模板制作及所需钢筋，可由施工方从招标人现场领用钢筋或采用模板厂家制作的胎膜架。所领用的材料款项将在后续计量中按实际领用量予以扣回。该部分费用已包含在综合单价中，不再单独计量。</t>
  </si>
  <si>
    <t>实际结算应按实际完成的工程数量和实际下发的施工图纸为依据（不超设计量），以招标人、监理认可的尺寸、断面计量，且招标人与投标人最终结算数量不得超过招标人与招标人业主审定的工程数量，并最终以甲乙双方实际认可的数量为准。</t>
  </si>
  <si>
    <t>主梁预制、运输、安装</t>
  </si>
  <si>
    <t>403-3-b</t>
  </si>
  <si>
    <t>带肋钢筋</t>
  </si>
  <si>
    <t>411-8-a</t>
  </si>
  <si>
    <t>C50混凝土箱梁</t>
  </si>
  <si>
    <t>m³</t>
  </si>
  <si>
    <t>招标人仅提混凝土、钢模板、支座、梁底预埋钢板和梁顶预埋钢板（伸缩装置钢垫板），投标人的施工内容包含但不限于：
1、成品模板（由招标人提供）的局部修整、校正、改造、拉杆加固等；模板安装、拆除。
2、混凝土（含封端）浇筑、养生、修饰、凿毛、随梁试块制作养护、相关预埋构件的埋设（预埋钢板材料，不单独计量）、凿毛机、泡沫胶等投标人自备。 
3、模板采用脱模剂，费用自理。
4、场内成品梁的起吊并移送至指定的存梁区域（存梁枕木自理）、有可能的翻梁起吊等工作，并按标准化要求堆放到位过程中的所有人工、材料、机械设备以及预制梁运输途中相关安全防护措施等。
5、场内成品梁的运输及安装，将成品梁起吊并移送至指定的存梁区域或上炮车，有可能的翻梁起吊、移梁、倒梁、装车、喂梁、架设、支座安装、临时固结支撑、支座上下钢板安装、临时支座安装及拆除（临时支座的加工）等工作，并按标准化要求堆放到位，过程中的所有人工、材料、机械设备等；预制梁上下爬梯由投标人提供，费用包含在综合单价中，不另行计量。                                                                              
6、 梁板运输投标人自行利用已有施工便道以及地方道路（地方发生的任何纠纷，投标人自行解决，给项目造成的任何损失招标人将追究相关责任）。
7、梁板运输过程中，因涉及地方道路、国省道等，投标人需在运梁车前后各安排一辆小车并派专人指挥引导交通，以确保梁板运输过程安全；                                                                  8、投标人必须为运抵现场的机械设备、车辆等设施办理保险，其保险金额足以现场重置。保险内容包括主要施工机具、设备的一切险，办理本款保险的一切费用均由投标人承担，由投标人摊入各相关工程细目的单价之中，不单独计量。
9、龙门吊必须采用滑触线并需满足临时用电要求；滑触线高度需满足炮车、罐车等通行高度(立架等材料投标人自行采购、安装及拆除），此项内容已包含在综合单价内，不单独计量。
10、梁板架设视具体情况采用架机桥或吊车安装方式，若用架桥机则需配备至少两台一体化架桥机，若业主及监理要求增加设备，投标人须无条件满足，所有设备进出场、转场、检测费用自理，不另行计量。
11、支座由招标人提供，投标人负责支座的领取、存放、保护及安装等工作，费用包含在综合单价中，不另行计量。
12、成品梁若无法及时安装则由投标人负责将成品梁起吊并移送至指定的存梁区域（存梁枕木由投标人自理），同时投标人需负责按标准化要求进行移梁、存梁、成品梁的二次转运等工作，过程中的所有人工、材料、机械设备以及相关安全防护措施等费用包含在综合单价中，不另行计量。
13、工地范围内各种材料、机械、设备等倒运由投标人负责；
14、单价包括但不限于完成以上工作所用到的所有人工、材料、机具、水电、养生布、设备等一切费用，
15、单条生产线需配备至少2台龙门吊以满足现场施工要求，龙门吊轨道由投标人自行解决，相关费用需包含在投标总价中，
16、支座安装所必需的环氧砂浆由投标人负责提供，其所涉及的全部费用应视为已分摊计入综合单价中，不另行计量。
17、投标人负责提供梁板喷淋、蒸养所需设备，以满足业主及监理的施工要求。该费用包含在相关清单项目报价中，不单独计量
18、为完成结构物所用的施工缝连接钢筋、防护角钢、混凝土养生、混凝土表面修整、梁体橡胶减震块，以及为完成结构物所需的其他杂项细目，如临时性或永久性固定扣件、钢板安装与焊接、螺栓、梁底预埋钢板安装、堵头板等，均视为各项混凝土工程的附属工作。其综合单价已包含橡胶减震块的采购及安装费用，不另行计量。</t>
  </si>
  <si>
    <t>QT-1</t>
  </si>
  <si>
    <t>二次存梁</t>
  </si>
  <si>
    <t>m3</t>
  </si>
  <si>
    <t>招标人不提供任何材料、机械，投标人的施工内容包含但不限于：                                      
1、针对可能出现的二次存梁情况，工作内容包含不限于梁板自梁场装车、运输至二次存梁区，按要求堆放到位，及梁板架设时的二次起吊、装车、运抵安装现场工作等过程中用到的所有人工、材料、机械费用。
2、若因投标人原因未能满足业主或监理的施工要求，所造成的一切后果与费用，均由投标人自行承担。</t>
  </si>
  <si>
    <t>411-5-a</t>
  </si>
  <si>
    <t>фs15.2钢绞线（含负弯矩）</t>
  </si>
  <si>
    <t>招标人仅提供钢绞线，投标人工作内容包括但不限于：
1、钢绞线装卸、解捆、下料、制束、编束运输、穿束、锚夹具安装、张拉、压浆以及完成上述工作所必须的相关工作、材料、设备、小机具、用电和生活设施等；
2、投标人自备张拉、压浆设备，并按要求进行标定，费用自理（智能设备）；
3、波纹管由投标人自理，管径和壁厚须满足设计要求；
4、压浆所用材料由投标人自理；
5、锚夹具由投标人自行采购，费用自理；
6、钢绞线工作长度（75cm）不作为有效计量长度，但计算到理论使用数量内，超出理论数量的部分招标人将按采购价在投标人结算中扣除；
7、预应力钢筋（含钢绞线及钢筋）的加工、锚具、深埋锚具、锚垫板、焊接、张拉、压浆、封锚等，作为附属工作，不另行计量。预应力锚具包括锚圈、夹片、螺栓、垫板、喇叭管、螺旋钢筋等整套部件；
8、孔道压浆必须采用循环智能压浆系统，确保压浆质量，该项作为附属工作，不单独计量；
9、张拉挡板由投标人自备，质量必须满足标准化要求，不另行计量。
10、锚夹具、夹片、工作锚、波纹管等辅助性材料由投标人自行采购、费用自理（须满足招标人业主要求）</t>
  </si>
  <si>
    <t>招标人仅提供钢筋，投标人的施工内容包含但不限于：
1、钢筋装卸、二次倒运、 除锈、预埋、绑扎入模成型、检测等内容所用到的人工、机具、焊条扎丝小材料、 电力、运输用到的设备（如人工搬运、叉车、运输炮车、汽车吊、塔吊、 门吊） 等一切费用（应按招标人及监理等相关单位要求配置人员、设备等）；
2、钢筋存放底部需垫槽钢或工字钢和覆盖帆布、套筒对接所用辅材自备，  由于投标人对钢筋和半成品保管不善造成锈蚀等报废产生的损失由投标人承担；
3、包含但不限于预埋件、保护层垫层的制作安装及购买费用；
4、 固定钢筋的材料、定位架立钢筋、钢筋接头、 吊装钢筋、钢板、铁丝作为钢筋作业的附属工作，不予计量，但计算到钢筋理论使用量内；
5、投标人报价内包含施工过程中所有机械（钢筋切割机、数控弯曲机、焊机、直螺纹刻丝机等） 、人工、耗材（焊条、连接钢套筒、燃油费等）等相关的一切明示和潜在的费用，包括但不限于钢筋的工地装卸车、运输（含水平运输及垂直运输）、材料机具的工地倒运、剩余用料的返还；</t>
  </si>
  <si>
    <t>主梁现浇整体化</t>
  </si>
  <si>
    <t>410-5-a</t>
  </si>
  <si>
    <t>C50混凝土</t>
  </si>
  <si>
    <t>招标人仅提供混凝土、预埋钢板，投标人的施工内容包含但不限于：
1、横隔板、中横梁、端横梁、天窗、张拉槽口以及湿接缝混凝土施工等（天窗封堵的量在梁板预制中计量，不再单独计量）；
2、模板工程（含模板、支撑、钢管、拉杆、方木、木楔等）、模板倒运、混凝土施工以及完成上述工作所必须的一切相关工作、材料设备、用电和生活设施等；
3、工地范围内各种材料、机械、设备等倒运；
4、支座、支座钢板切割及预埋钢板制作安装，模板安装拆除、混凝土浇筑、养生、临时支座拆除等工作用到的模板、人工、机具、小材料、电力等一切费用。
5、若因施工需要铺设钢板，所需钢板由投标人提供，相关费用已包含在投标报价中 ，不另计量，                 
6、若施工现场必须使用泵车施工时，泵车由招标人提供；若由投标人提供泵车，泵送费按25元/m3结算。</t>
  </si>
  <si>
    <t>桥面铺装</t>
  </si>
  <si>
    <t>403-3-c</t>
  </si>
  <si>
    <t>CRB550D10级冷轧带肋钢筋焊接网</t>
  </si>
  <si>
    <t>招标人仅提供钢筋，投标人的施工内容包含但不限于：
1、钢筋装卸、二次倒运、除锈、预埋、绑扎入模成型、检测等内容所用到的人工、机具、焊条扎丝小材料、电力、运输用到的设备（如人工搬运、叉车、运输炮车、汽车吊、门吊）等一切费用；
2.单价包含但不限于为完成以上工作内容所需五金电料、机具设备等相关费用;
3、钢筋不考虑损耗，钢筋搭接部分计算钢筋理论使用量但不予计量;
5、边角料统一由招标人处置，严禁私卖边角料，如发现私卖按招标人采购含税价的1.2倍在结算中扣除;
6、钢筋存放底部需垫槽钢或工字钢和覆盖帆布、套筒对接所用辅材自备，由于投标人对钢筋和半成品保管不善造成锈蚀等报废产生的损失由投标人承担；
7、所有桥面铺装的钢筋均采用绑扎连接。</t>
  </si>
  <si>
    <t>QT-2</t>
  </si>
  <si>
    <t>项目部仅提供钢筋网片，投标人的施工内容包含但不限于：
1.钢筋网片的装卸、运输、除锈、下料制作、预埋、绑扎入模成型、检测等内容所用到的人工、机具、焊条扎丝小材料、电力等一切费用。
2.单价包含但不限于为完成以上工作内容所需五金电料、机具设备等相关费用。                  
3、网片不考虑损耗，网片搭接部分计算网片理论使用量但不予计量。（网片采用平搭法，搭接长度为35*d（d为钢筋直径）且不小于200mm）
4、边角料统一由招标人处置，严禁私卖边角料，如发现私卖按招标人采购含税价的1.2倍在结算中扣除;
5、钢筋网片存放底部需垫槽钢或工字钢和覆盖帆布、套筒对接所用辅材自备，由于投标人对钢筋和半成品保管不善造成锈蚀等报废产生的损失由投标人承担；</t>
  </si>
  <si>
    <t>415-2-a</t>
  </si>
  <si>
    <t>C50防水混凝土</t>
  </si>
  <si>
    <t>招标人仅提供混凝土、泵车，投标人的施工内容包含但不限于：
1、桥面清理、模板工程、模板倒运、混凝土施工以及完成上述工作所必须的一切相关工作、材料设备、用电和生活设施等；
2、施工所需模板由投标人自备，不另行计量；
3、工地范围内各种材料、机械、设备等倒运由投标人负责；
4、投标人自备振动梁或三辊轴等机具；
5、桥面混凝土浇筑、振捣、机具（包含但不限于振动梁或三辊轴、提浆机、磨光机等）、桥面清扫、桥面标高带等用到的一切相关费用。
6、使用泵车浇筑时，泵车由招标人提供；若由投标人提供泵车，泵送费按25元/m3结算。
7、桥梁工程中所涉及的机电通信、电缆管道及其他预埋件的焊接与预埋施工，其费用视为已包含在综合单价中，不另行计量与支付。</t>
  </si>
  <si>
    <t>415-4-a-1</t>
  </si>
  <si>
    <t>钢质泄水管</t>
  </si>
  <si>
    <t>投标人包工包料，投标人的施工内容包含但不限于：
1、场地清理、安拆作业平台、钻孔安设排水管锚固件、安设排水设施等以及完成上述工作所必须的一切相关工作、机械、材料、设备、用电和生活设施等相关费用；
2、施工所需一切机械、材料、设备费用由投标人自行考虑;
3、工地范围内各种材料、机械、设备等倒运由投标人负责；
4、此价格为综合单价，后期不再单独补充，投标人应在报价中充分考虑。</t>
  </si>
  <si>
    <t>桥面排水</t>
  </si>
  <si>
    <t>415-4-a-3</t>
  </si>
  <si>
    <t>Φ160塑料泄水管（含附件）</t>
  </si>
  <si>
    <t>m</t>
  </si>
  <si>
    <t>投标人包工包料，投标人的施工内容包含但不限于：
1、场地清理、安拆作业平台、钻孔安设排水管锚固件、安设排水设施等以及完成上述工作所必须的一切相关工作、机械、材料、设备、用电和生活设施等相关费用；
2、施工所需一切机械、材料、设备费用由投标人自行考虑;
3、工地范围内各种材料、机械、设备等倒运由投标人负责；
4、此价格为综合单价，后期不再单独补充，投标人应在报价中充分考虑。
5、其余未尽事宜以图纸、招标文件为准；其余未列明费用均由投标人承担，包含在综合单价中，后期不再单独补充。</t>
  </si>
  <si>
    <t>415-4-b</t>
  </si>
  <si>
    <t>桥面边部碎石盲沟</t>
  </si>
  <si>
    <t>投标人包工包料，投标人的施工内容包含但不限于：
1、边部切割、清理、盲沟设置以及完成上述工作所必须的一切相关工作、机械、材料、设备、用电和生活设施等相关费用；
2、施工所需一切机械、材料、设备费用由投标人自行考虑;
3、工地范围内各种材料、机械、设备等倒运由投标人负责；
4、此价格为综合单价，后期不再单独补充，投标人应在报价中充分考虑。
5、其余未尽事宜以图纸、招标文件为准；其余未列明费用均由投标人承担，包含在综合单价中，后期不再单独补充。</t>
  </si>
  <si>
    <t>415-4-c</t>
  </si>
  <si>
    <t>玻纤格栅</t>
  </si>
  <si>
    <t>m2</t>
  </si>
  <si>
    <t>投标人包工包料，投标人的施工内容包含但不限于：
1、土工材料卸货存放、场内运输、铺设、搭接、整形等的人工、材料、机械等一切费用；
2、单价含土工材料的卸货存放、场内运输、铺设、搭接、整形、送检并出具合格的检测报告等全部工作。</t>
  </si>
  <si>
    <t>403-4-b</t>
  </si>
  <si>
    <t>搭板</t>
  </si>
  <si>
    <t>410-6-a</t>
  </si>
  <si>
    <t>C20混凝土</t>
  </si>
  <si>
    <t>招标人仅提供混凝土、安全防护网，投标人的施工内容包含但不限于：
1、招标人仅提供非泵砼。
2、投标人工作内容包含但不限于支架、模板工程（含模板、支撑、钢管、拉杆、木方、木楔等）、模板倒运、立模、浇筑、振捣、拆模、养生、预埋件制作安装及完成上述工作所必须的一切相关工作、材料设备、用电和生活设施等。
3、模板自理。
4、基槽清理，工地范围内各种材料、机械、设备等倒运。
5、过程中用到的扣件、对拉螺丝、拉杆、垫石及挡块模板等小材料由投标人负责。                                     
6、搭板油毡、相应部位使用的土工材料由投标人采购铺设</t>
  </si>
  <si>
    <t>410-6-b</t>
  </si>
  <si>
    <t>C30混凝土</t>
  </si>
  <si>
    <t>护栏现浇</t>
  </si>
  <si>
    <t>403-4-a</t>
  </si>
  <si>
    <t>招标人仅提供混凝土、护栏钢模板、安全防护网、泵车，投标人的施工内容包含但不限于：
1、模板工程（含模板、支撑、钢管、拉杆、木方、木楔等）、模板倒运、混凝土入模、振捣等施工以及完成上述工作所必须的一切相关工作、材料设备、用电和生活设施等；
2、钢模板局部改造、标段内转运均由投标人负责；
3、工地范围内各种材料、机械、设备等倒运由投标人负责；
4、施工过程中用到的扣件、对拉螺丝、拉杆等小材料由投标人负责。 
5、桥梁交安及机电设施底座预埋件的焊接与预埋施工，其费用已包含在综合单价中，不另行计量与支付。             
6、使用泵车浇筑时，泵车由招标人提供；若由投标人提供泵车，泵送费按25元/m3结算。
7、砼护栏、砼护栏底座上其他连接件及PVC管计入混凝土单价中，不另行计量</t>
  </si>
  <si>
    <t>403-4-d</t>
  </si>
  <si>
    <t>钢板、钢管及预埋件</t>
  </si>
  <si>
    <t>1、工作内容包括购买、运输、现场摊铺、平整等一切有关的作业，此费用为综合单价。</t>
  </si>
  <si>
    <t>招标人仅提供混凝土、安全防护网，投标人的施工内容包含但不限于：
1、基槽清理，工地范围内各种材料、机械、设备等倒运，纤维布由投标人自行采购铺设。
2、支架、模板工程（含模板、支撑、钢管、拉杆、木方、木楔等） 、模板倒运、混凝土施工及完成上述工作所必须的一切相关工作、材料设备、用电和生活设施等。
3、施工所需支架、模板等材料由投标人自备；
4、投标人所提供的模板必须为全新模板，模板进场使用前必须经过业主、监理验收，不满足要求严禁使用；
5、工地范围内各种材料、机械、设备等倒运由投标人负责；
6、施工过程中用到的扣件、对拉螺丝、拉杆等小材料由投标人负责。</t>
  </si>
  <si>
    <t>错台处挡墙及其他</t>
  </si>
  <si>
    <t>403-3-e</t>
  </si>
  <si>
    <t>Q345D钢托板（主线中央分隔带开口）</t>
  </si>
  <si>
    <t>1、工作内容包括购买、运输、安装等一切有关作业，此费用为综合单价。</t>
  </si>
  <si>
    <t>其他</t>
  </si>
  <si>
    <t>403-3-d</t>
  </si>
  <si>
    <t>D12绑扎带肋钢筋网</t>
  </si>
  <si>
    <t>招标人仅提供钢筋，投标人的施工内容包含但不限于：
1、钢筋装卸、二次倒运、除锈、预埋、绑扎入模成型、检测等内容所用到的人工、机具、焊条扎丝小材料、电力、运输用到的设备（如人工搬运、叉车、运输炮车、汽车吊、门吊）等一切费用；
2.单价包含但不限于为完成以上工作内容所需五金电料、机具设备等相关费用;
3、钢筋不考虑损耗，钢筋搭接部分计算钢筋理论使用量但不予计量;
4、边角料统一由招标人处置，严禁私卖边角料，如发现私卖按招标人采购含税价的1.2倍在结算中扣除;
4、钢筋存放底部需垫槽钢或工字钢和覆盖帆布、套筒对接所用辅材自备，由于投标人对钢筋和半成品保管不善造成锈蚀等报废产生的损失由投标人承担；
5、所有桥面铺装的钢筋均采用绑扎连接。</t>
  </si>
  <si>
    <t>QT-3</t>
  </si>
  <si>
    <t>QT-4</t>
  </si>
  <si>
    <t>Rr1-S8m-E型混凝土护栏</t>
  </si>
  <si>
    <t>招标人仅提供混凝土、护栏钢模板、安全防护网、泵车，投标人的施工内容包含但不限于：
1、模板工程（含模板、支撑、钢管、拉杆、木方、木楔等）、模板倒运、混凝土入模、振捣等施工以及完成上述工作所必须的一切相关工作、材料设备、用电和生活设施等；
2、施工前，需预先打入φ140×4.5×1400规格的镀锌钢管。此工作内容已包含在相应的综合单价内，不另行列项计量与支付；
3、钢模板局部改造、标段内转运均由投标人负责；
4、护栏预埋件材料由招标人提供，投标人负责预埋安装， 不另行计量；
5、工地范围内各种材料、机械、设备等倒运由投标人负责；
6、施工过程中用到的扣件、对拉螺丝、拉杆等小材料由投标人负责。 
7、桥梁交安及机电设施底座预埋件的焊接与预埋施工，其费用已包含在综合单价中，不另行计量与支付。             
8、使用泵车浇筑时，泵车由招标人提供；若由投标人提供泵车，泵送费按25元/m3结算。
9、砼护栏、砼护栏底座上其他连接件及PVC管计入混凝土单价中，不另行计量
10、本项为京台高速中央分隔带护栏工程。因我方需拆除该段护栏后方可进入施工场地，故其后续的恢复施工，亦由我方承担。</t>
  </si>
  <si>
    <t>QT-5</t>
  </si>
  <si>
    <t>场地清理</t>
  </si>
  <si>
    <t>1、包括现场清理、场地平整、场地压实，
2、含弃土外运等。</t>
  </si>
  <si>
    <t>场站建设</t>
  </si>
  <si>
    <t>QT-6</t>
  </si>
  <si>
    <t>预制场地硬化C30砼-25cm</t>
  </si>
  <si>
    <t>招标人提供混凝土，投标人的施工内容包含但不限于：
1、混凝土浇筑、整平、切缝、养护等，以及完成工作所需要的一切小型机具等辅助费用。
2、预制场场地建设高程控制测量，模板安装拆除、修饰、覆盖、养护、抹平。
3、住宿场地、活动板房、生活区场地硬化、生活设施等一切设施都由投标人承担，费用包含在综合单价内。若自建板房，必须采用防火夹心板，整体建设要求必须服从招标人管理和满足标准化要求，投标人退场时活动板房的拆除、装车、运离现场、场地恢复等一切人工、材料、机械费用包含在综合单价中，不另行计量；</t>
  </si>
  <si>
    <t>QT-7</t>
  </si>
  <si>
    <t>存梁台座及门吊轨道基础-C20砼</t>
  </si>
  <si>
    <t>招标人提供混凝土，投标人的施工内容包含但不限于：
1、工作内容包括基础开挖、立模、混凝土浇筑、整平、养护等，以及完成以上工作所需模板、一切小型机具等辅助费用；</t>
  </si>
  <si>
    <t>QT-8</t>
  </si>
  <si>
    <t>存梁区枕梁及门吊轨道梁-C30砼</t>
  </si>
  <si>
    <t>QT-9</t>
  </si>
  <si>
    <t>钢筋</t>
  </si>
  <si>
    <t>招标人仅提供钢筋，投标人的施工内容包含但不限于：
1、钢筋购买、装卸、二次倒运、除锈、预埋、绑扎入模成型、检测等内容所用到的人工、机具、焊条扎丝小材料、电力、运输用到的设备（如人工搬运、叉车、运输炮车、汽车吊、门吊）等一切费用；
2、钢筋存放底部需垫槽钢或工字钢和覆盖帆布、套筒对接所用辅材自备，由于投标人对钢筋和半成品保管不善造成锈蚀等报废产生的损失由投标人承担；
3、投标人单价内包含但不限于施工过程中所有机械、人工、耗材（焊条、连接钢套筒、燃油费等）等相关的一切明示和潜在的费用，包括但不限于钢筋的工地装卸车、运输（含水平运输及垂直运输）、材料机具的工地倒运、剩余用料的返还；</t>
  </si>
  <si>
    <t>QT-10</t>
  </si>
  <si>
    <t>主要运输道路砖渣换填-40cm</t>
  </si>
  <si>
    <t>t</t>
  </si>
  <si>
    <t>1、砖渣购买、运输整平碾压等包含一切费用。</t>
  </si>
  <si>
    <t>QT-11</t>
  </si>
  <si>
    <t>主要运输道路场地硬化C30砼-20cm</t>
  </si>
  <si>
    <t>招标人提供混凝土，投标人的施工内容包含但不限于：
1、混凝土浇筑、精平、切缝、养护等，以及完成工作所需要的一切小型机具等辅助费用。
2、配合设备进行场地平整，模板安装拆除、修饰、覆盖、养护、抹平。</t>
  </si>
  <si>
    <t>QT-12</t>
  </si>
  <si>
    <t>25m箱梁制梁台座</t>
  </si>
  <si>
    <t>个</t>
  </si>
  <si>
    <t>招标人提供混凝土及钢筋，投标人的施工内容包含但不限于：
1、单价包含放线、挖槽、平整、立模、浇砼、角钢及相关制作焊接、压条、预埋（含喷淋设施）、铺设钢板焊接、除锈打磨、模板等一切费用，及完成上述工作所必须的人工、材料、设备、用电和生活设施等费用。
2、钢板加工等相关工作、设备、用电和生活设施等包含在综合单价内。
3、预制区硬化着重控制模板放置位置、精平以及场内排水，门吊跨径按招标人图纸施工，必须与施工现场规划匹配，场内排水沟设置于两轨道内侧（预埋PVC管道），利用轨道基础内边，另一边在浇筑地坪时立模板一同浇筑，排水沟带线立模，线型顺直，排水沟施工招标人只提供混凝土，其它所需人工、机械、材料等相关费用由投标人承担；
4、第一层基础为C20混凝土，台座为C30混凝土</t>
  </si>
  <si>
    <t>QT-13</t>
  </si>
  <si>
    <t>35m箱梁制梁台座</t>
  </si>
  <si>
    <t>QT-14</t>
  </si>
  <si>
    <t>20mT梁制梁台座</t>
  </si>
  <si>
    <t>QT-15</t>
  </si>
  <si>
    <t>钢筋大棚基础C20砼</t>
  </si>
  <si>
    <t>招标人提供混凝土及钢筋，投标人施工内容包括但不限于：
1、基础开挖、立模、混凝土浇筑、整平、养护等，以及完成以上工作所需模板、一切小型机具、材料等辅助费用。
2、1.2*1.2*1钢筋混凝土基础，含钢筋</t>
  </si>
  <si>
    <t>QT-16</t>
  </si>
  <si>
    <t>散水（砖砌）</t>
  </si>
  <si>
    <t>1、检查、清理下承层;
2、标准砖采购、运输，材质品种、规格:烧结青(红)标准砖，或砼标准砖，尺寸240*115*53mm
3、水泥砂浆原材采购、制作，材料品种、规格:M7.5砌筑砂浆;
4、浆砌散水作业;散水顶面采用M7.5砂浆抹面，并由内向外形成10%坡度。</t>
  </si>
  <si>
    <t>QT-17</t>
  </si>
  <si>
    <t>圆管涵50cm</t>
  </si>
  <si>
    <t>1、投标人包工包料。
2、投标人工作内容包括但不限于圆管涵采购、运输、卸车、安装、施工准备、场内倒运、排水、基坑开挖及回填、清理余土等工作内容。</t>
  </si>
  <si>
    <r>
      <rPr>
        <sz val="10"/>
        <rFont val="宋体"/>
        <charset val="134"/>
      </rPr>
      <t>说明：
1、工程量清单中竞争费部分所有标价的，承诺不含税单价一次性包死，实施期间不论发生工、料、机的价格浮动或政策性变化，不含税单价均不作调整。
2、工程量清单中竞争费部分所列工程量为暂定量，不作为最终结算依据。实际结算应按实际完成的工程数量和实际下发的施工图纸为依据（不超设计量），以招标人、监理认可的尺寸、断面计量，且招标人与投标人最终结算数量不得超过招标人与招标人业主审定的工程数量，并最终以甲乙双方实际认可的数量为准。
3、工程进度：（1）投标人必须严格按照招标人、建设及监理单位下发的节点进度计划执行，严格按照招标人、建设及监理单位要求配置人员及机械设备。若施工过程中发现投标人当前资源配置不能满足节点进度目标实现时，投标人须无条件服从招标人要求增加人、材、机数量，以保障招标人节点进度目标实现。因节点计划未完成，建设及监理单位对招标人进行的处罚或造成的损失，将由投标人全部承担。若投标人在连续两次的月进度计划中未能按招标人要求完成，招标人按相关制度要求对其处罚且有权对合同工程量切割，投标人须无条件接受。 （2）工程量清单中包含的工程内容投标人必须严格保质保量完成，不能单方面进行甩项，否则由招标人组织实施，由此发生的相关费用由投标人自行承担，招标人有权从结算款中直接扣除，不足部分招标人有权向投标人追偿。
4、物资管理：（1）（1）材料约定：钢筋损耗率为_0_%，钢绞线损耗率为_0_%，上部及下部结构混凝土损耗率为_0_%，基础混凝土损耗率为__0_%，其他材料：__/_；理论用量按图纸设计量计算，若超耗，费用由投标人承担，钢筋扣款单价为</t>
    </r>
    <r>
      <rPr>
        <u/>
        <sz val="10"/>
        <rFont val="宋体"/>
        <charset val="134"/>
      </rPr>
      <t xml:space="preserve"> 4000 </t>
    </r>
    <r>
      <rPr>
        <sz val="10"/>
        <rFont val="宋体"/>
        <charset val="134"/>
      </rPr>
      <t xml:space="preserve">元/吨（不含税），钢绞线扣款单价为 </t>
    </r>
    <r>
      <rPr>
        <u/>
        <sz val="10"/>
        <rFont val="宋体"/>
        <charset val="134"/>
      </rPr>
      <t>5000</t>
    </r>
    <r>
      <rPr>
        <sz val="10"/>
        <rFont val="宋体"/>
        <charset val="134"/>
      </rPr>
      <t xml:space="preserve"> 元（不含税），混凝土扣款单价为_400_元/方（不含税），特殊混凝土扣款单价为__/_元（不含税），其他材料：__/_元（不含税）；若发现投标人私卖，则按照_3000__元（不含税）扣除。
（2）除招标人供材以外的施工材料，投标人自行采购，采购厂家需符合建设、监理单位、招标人及第三方检测要求，并提交检测报告和厂家合格证，配合招标人完成相应厂家备案等资料。所有需外委检测的费用由投标人自行承担。
5、临时水电：（1）用电约定：招标人负责变压器架装到规划位置，负责承担变压器下火送至二级配电箱。二级（不含二级配电箱）至三级配电箱及临时用电由招标人统一采购，在当期结算中扣除；投标人须在场站内自备250KW发电机不少于一台（以防止停电及电力不到位），租赁费用、燃油等费用自理。投标人的用电设施必须符合招标人要求，投标人必须分别安排一名专职电工（持有效证件）和专职安全员服从招标人安全部的领导管理，因安全管理工作不到位造成的损失将由投标人承担，若投标人用电设施不符合要求，则由招标人按照临时用电标准统一采购、配置，费用从投标人计量款扣除；
②电费按标准扣除：电费由投标人承担（投标人在用电过程中因雷电、大风等非人为断电导致投标人损失由投标人自行承担），招标人将按月对用电进行抄表计量，按照1.5元/度在当期结算中扣除。
（2）用水约定：施工所需用水包含在综合单价内，由投标人自行承担。
6、机械设备：
（1）所有进场人员、机械设备需服从招标人统一管理，投标人必须为运抵现场的人员、机械设备、车辆等设施办理保险（保险内容包括主要施工机具、设备的一切险，办理本款保险的一切费用均由投标人承担，由投标人摊入各相关工程细目的单价之中，不单独计量）。若投标人进场设备无法满足现场需求，招标人有权协调增加投标人机械设备，费用从结算中扣除相应费用。（2）现场运输车辆、机械设备必须证件手续齐全及环保标识，车辆驾驶、机械设备人员必须持证上岗。所有现场机械设备必须按招标人要求安装倒车影像、声光报警装置。（3）投标人施工过程中发生一切人员及机械、车辆事故均由投标人承担，招标人不负任何事故责任。（4）机械设备数量按照招标文件机械进场最要求配置表约定进场。投标人自行采购的机具及材料第三方送检由招标人统一安排，发生的送检费用由投标人承担。（5）若招标人中途需使用机械、临时用工，投标人须无条件配合，台班单价按招标人内部《外租设备指导价一览表》确定，如：挖掘机按（1.5-1.6m³）260元/h，计日工按150元/工日结算。
7、安全文明施工：
（1）施工过程中，严格按照图纸要求做好水土及环境保护、扬尘治理、安全文明工作（特别是噪音、污水、废水、废渣、泥浆、扬尘排放），若因投标人自身原因造成水土环境破坏及扬尘等环境处罚，所产生的一切责任及费用均由投标人自行承担。（2）现场安全、文明施工标志、标牌、防护用品（除清单内约定投标人采购外）等设施由招标人统一配备，投标人负责现场安装、维修、维护；若出现损坏、丢失，招标人按同等标准重新配备，其重置费用由安全部统计，在当期投标人结算中按实际不含税采购价格扣除；施工过程中，投标人需无条件配合项目的各项迎检工作，包括完成场地清扫、整理、标识标牌等安全设施的安装摆放、彩旗的摆放等，投入人工、机械配合布置迎检现场，迎检配合工作费用均已含在综合单价内，不予计量；若不配合各项迎检工作，按2000元/次扣除违约金，且因此招标人为迎检所发生的一切费用由投标人承担； 招标人现场配置的广告宣传安全标牌、设备等均由投标人负责看管；如招标人施工过程中损坏，由投标人按原价赔偿。（3）建筑材料集中堆放区域超过24小时不施工的须做到全覆盖（如钢管、扣件、模板、辅材等）。
8、其他约定：
（1）、钢筋保护层合格率不低于95%，否则招标人受到的处罚由投标人负责；
（2）、钢筋焊接必须采用502以上型号焊条，严禁私卖钢筋边角料，如发现按10元/kg在计量计价中扣除；
（3）、投标人提供的材料（波纹管、锚夹具等），其相关检测费用已包含在综合单价内，由投标人承担。若该项费用由招标人代投标人缴纳，将在对应结算款中予以扣除；
（4）、投标人在施工过程中，必须采取有效措施，保护施工现场及周边环境（包括但不限于红线两侧的农田、水塘）不受污染。因投标人原因造成的任何环境污染或破坏，以及由此引发的地方性事务问题，所产生的全部处理费用、赔偿款项及法律责任，概由投标人负责；安排专职人员对施工生产区域进行定时清扫和维护，保证该区域始终保持整洁卫生，符合文明施工的要求。
9、其余未尽事宜，双方参照本项目招标文件、合同文件及业主下发的相关制度及管理办法执行，所产生的费用由投标人承担。</t>
    </r>
  </si>
  <si>
    <t>投标单位（公章）：</t>
  </si>
  <si>
    <t xml:space="preserve"> </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</si>
</sst>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Red]\(0.00\)"/>
    <numFmt numFmtId="177" formatCode="0.00_ ;[Red]\-0.00\ "/>
    <numFmt numFmtId="178" formatCode="0.00_ "/>
  </numFmts>
  <fonts count="33">
    <font>
      <sz val="11"/>
      <color rgb="FF000000"/>
      <name val="Arial"/>
      <charset val="204"/>
    </font>
    <font>
      <sz val="10"/>
      <name val="宋体"/>
      <charset val="204"/>
    </font>
    <font>
      <sz val="20"/>
      <name val="宋体"/>
      <charset val="134"/>
    </font>
    <font>
      <sz val="12"/>
      <name val="宋体"/>
      <charset val="134"/>
    </font>
    <font>
      <b/>
      <sz val="10"/>
      <name val="宋体"/>
      <charset val="134"/>
    </font>
    <font>
      <sz val="10"/>
      <name val="宋体"/>
      <charset val="134"/>
    </font>
    <font>
      <sz val="10"/>
      <name val="宋体"/>
      <charset val="0"/>
    </font>
    <font>
      <sz val="11"/>
      <name val="宋体"/>
      <charset val="134"/>
      <scheme val="minor"/>
    </font>
    <font>
      <sz val="10"/>
      <name val="宋体"/>
      <charset val="134"/>
      <scheme val="minor"/>
    </font>
    <font>
      <sz val="9"/>
      <name val="宋体"/>
      <charset val="134"/>
    </font>
    <font>
      <b/>
      <sz val="10"/>
      <name val="宋体"/>
      <charset val="204"/>
    </font>
    <font>
      <sz val="11"/>
      <name val="Arial"/>
      <charset val="20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u/>
      <sz val="10"/>
      <name val="宋体"/>
      <charset val="134"/>
    </font>
  </fonts>
  <fills count="34">
    <fill>
      <patternFill patternType="none"/>
    </fill>
    <fill>
      <patternFill patternType="gray125"/>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style="thin">
        <color auto="1"/>
      </right>
      <top style="thin">
        <color auto="1"/>
      </top>
      <bottom style="thin">
        <color rgb="FF000000"/>
      </bottom>
      <diagonal/>
    </border>
    <border>
      <left style="thin">
        <color rgb="FF000000"/>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12" fillId="0" borderId="0" applyFont="0" applyFill="0" applyBorder="0" applyAlignment="0" applyProtection="0">
      <alignment vertical="center"/>
    </xf>
    <xf numFmtId="44" fontId="12" fillId="0" borderId="0" applyFont="0" applyFill="0" applyBorder="0" applyAlignment="0" applyProtection="0">
      <alignment vertical="center"/>
    </xf>
    <xf numFmtId="9" fontId="12" fillId="0" borderId="0" applyFont="0" applyFill="0" applyBorder="0" applyAlignment="0" applyProtection="0">
      <alignment vertical="center"/>
    </xf>
    <xf numFmtId="41" fontId="12" fillId="0" borderId="0" applyFont="0" applyFill="0" applyBorder="0" applyAlignment="0" applyProtection="0">
      <alignment vertical="center"/>
    </xf>
    <xf numFmtId="42" fontId="12" fillId="0" borderId="0" applyFon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2" fillId="3" borderId="8" applyNumberFormat="0" applyFont="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9" applyNumberFormat="0" applyFill="0" applyAlignment="0" applyProtection="0">
      <alignment vertical="center"/>
    </xf>
    <xf numFmtId="0" fontId="19" fillId="0" borderId="9" applyNumberFormat="0" applyFill="0" applyAlignment="0" applyProtection="0">
      <alignment vertical="center"/>
    </xf>
    <xf numFmtId="0" fontId="20" fillId="0" borderId="10" applyNumberFormat="0" applyFill="0" applyAlignment="0" applyProtection="0">
      <alignment vertical="center"/>
    </xf>
    <xf numFmtId="0" fontId="20" fillId="0" borderId="0" applyNumberFormat="0" applyFill="0" applyBorder="0" applyAlignment="0" applyProtection="0">
      <alignment vertical="center"/>
    </xf>
    <xf numFmtId="0" fontId="21" fillId="4" borderId="11" applyNumberFormat="0" applyAlignment="0" applyProtection="0">
      <alignment vertical="center"/>
    </xf>
    <xf numFmtId="0" fontId="22" fillId="5" borderId="12" applyNumberFormat="0" applyAlignment="0" applyProtection="0">
      <alignment vertical="center"/>
    </xf>
    <xf numFmtId="0" fontId="23" fillId="5" borderId="11" applyNumberFormat="0" applyAlignment="0" applyProtection="0">
      <alignment vertical="center"/>
    </xf>
    <xf numFmtId="0" fontId="24" fillId="6" borderId="13" applyNumberFormat="0" applyAlignment="0" applyProtection="0">
      <alignment vertical="center"/>
    </xf>
    <xf numFmtId="0" fontId="25" fillId="0" borderId="14" applyNumberFormat="0" applyFill="0" applyAlignment="0" applyProtection="0">
      <alignment vertical="center"/>
    </xf>
    <xf numFmtId="0" fontId="26" fillId="0" borderId="15" applyNumberFormat="0" applyFill="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1" fillId="11" borderId="0" applyNumberFormat="0" applyBorder="0" applyAlignment="0" applyProtection="0">
      <alignment vertical="center"/>
    </xf>
    <xf numFmtId="0" fontId="31" fillId="12" borderId="0" applyNumberFormat="0" applyBorder="0" applyAlignment="0" applyProtection="0">
      <alignment vertical="center"/>
    </xf>
    <xf numFmtId="0" fontId="30" fillId="13" borderId="0" applyNumberFormat="0" applyBorder="0" applyAlignment="0" applyProtection="0">
      <alignment vertical="center"/>
    </xf>
    <xf numFmtId="0" fontId="30" fillId="14" borderId="0" applyNumberFormat="0" applyBorder="0" applyAlignment="0" applyProtection="0">
      <alignment vertical="center"/>
    </xf>
    <xf numFmtId="0" fontId="31" fillId="15" borderId="0" applyNumberFormat="0" applyBorder="0" applyAlignment="0" applyProtection="0">
      <alignment vertical="center"/>
    </xf>
    <xf numFmtId="0" fontId="31" fillId="16" borderId="0" applyNumberFormat="0" applyBorder="0" applyAlignment="0" applyProtection="0">
      <alignment vertical="center"/>
    </xf>
    <xf numFmtId="0" fontId="30" fillId="17" borderId="0" applyNumberFormat="0" applyBorder="0" applyAlignment="0" applyProtection="0">
      <alignment vertical="center"/>
    </xf>
    <xf numFmtId="0" fontId="30" fillId="18" borderId="0" applyNumberFormat="0" applyBorder="0" applyAlignment="0" applyProtection="0">
      <alignment vertical="center"/>
    </xf>
    <xf numFmtId="0" fontId="31" fillId="19" borderId="0" applyNumberFormat="0" applyBorder="0" applyAlignment="0" applyProtection="0">
      <alignment vertical="center"/>
    </xf>
    <xf numFmtId="0" fontId="31" fillId="20" borderId="0" applyNumberFormat="0" applyBorder="0" applyAlignment="0" applyProtection="0">
      <alignment vertical="center"/>
    </xf>
    <xf numFmtId="0" fontId="30" fillId="21" borderId="0" applyNumberFormat="0" applyBorder="0" applyAlignment="0" applyProtection="0">
      <alignment vertical="center"/>
    </xf>
    <xf numFmtId="0" fontId="30" fillId="22" borderId="0" applyNumberFormat="0" applyBorder="0" applyAlignment="0" applyProtection="0">
      <alignment vertical="center"/>
    </xf>
    <xf numFmtId="0" fontId="31" fillId="23" borderId="0" applyNumberFormat="0" applyBorder="0" applyAlignment="0" applyProtection="0">
      <alignment vertical="center"/>
    </xf>
    <xf numFmtId="0" fontId="31" fillId="24" borderId="0" applyNumberFormat="0" applyBorder="0" applyAlignment="0" applyProtection="0">
      <alignment vertical="center"/>
    </xf>
    <xf numFmtId="0" fontId="30" fillId="25" borderId="0" applyNumberFormat="0" applyBorder="0" applyAlignment="0" applyProtection="0">
      <alignment vertical="center"/>
    </xf>
    <xf numFmtId="0" fontId="30" fillId="26" borderId="0" applyNumberFormat="0" applyBorder="0" applyAlignment="0" applyProtection="0">
      <alignment vertical="center"/>
    </xf>
    <xf numFmtId="0" fontId="31" fillId="27" borderId="0" applyNumberFormat="0" applyBorder="0" applyAlignment="0" applyProtection="0">
      <alignment vertical="center"/>
    </xf>
    <xf numFmtId="0" fontId="31" fillId="28" borderId="0" applyNumberFormat="0" applyBorder="0" applyAlignment="0" applyProtection="0">
      <alignment vertical="center"/>
    </xf>
    <xf numFmtId="0" fontId="30" fillId="29" borderId="0" applyNumberFormat="0" applyBorder="0" applyAlignment="0" applyProtection="0">
      <alignment vertical="center"/>
    </xf>
    <xf numFmtId="0" fontId="30" fillId="30" borderId="0" applyNumberFormat="0" applyBorder="0" applyAlignment="0" applyProtection="0">
      <alignment vertical="center"/>
    </xf>
    <xf numFmtId="0" fontId="31" fillId="31" borderId="0" applyNumberFormat="0" applyBorder="0" applyAlignment="0" applyProtection="0">
      <alignment vertical="center"/>
    </xf>
    <xf numFmtId="0" fontId="31" fillId="32" borderId="0" applyNumberFormat="0" applyBorder="0" applyAlignment="0" applyProtection="0">
      <alignment vertical="center"/>
    </xf>
    <xf numFmtId="0" fontId="30" fillId="33" borderId="0" applyNumberFormat="0" applyBorder="0" applyAlignment="0" applyProtection="0">
      <alignment vertical="center"/>
    </xf>
  </cellStyleXfs>
  <cellXfs count="71">
    <xf numFmtId="0" fontId="0" fillId="0" borderId="0" xfId="0"/>
    <xf numFmtId="0" fontId="0" fillId="0" borderId="0" xfId="0" applyFill="1" applyBorder="1" applyAlignment="1">
      <alignment horizontal="left" vertical="top" wrapText="1"/>
    </xf>
    <xf numFmtId="0" fontId="0" fillId="2" borderId="0" xfId="0" applyFill="1" applyBorder="1" applyAlignment="1">
      <alignment horizontal="left" vertical="top" wrapText="1"/>
    </xf>
    <xf numFmtId="0" fontId="1" fillId="0" borderId="0" xfId="0" applyFont="1" applyFill="1" applyBorder="1" applyAlignment="1">
      <alignment horizontal="left" vertical="top" wrapText="1"/>
    </xf>
    <xf numFmtId="0" fontId="1" fillId="0" borderId="0" xfId="0" applyFont="1" applyFill="1" applyBorder="1" applyAlignment="1">
      <alignment horizontal="center" vertical="center" wrapText="1"/>
    </xf>
    <xf numFmtId="176" fontId="1" fillId="0" borderId="0" xfId="0" applyNumberFormat="1" applyFont="1" applyFill="1" applyBorder="1" applyAlignment="1">
      <alignment horizontal="center" vertical="center" wrapText="1"/>
    </xf>
    <xf numFmtId="177" fontId="1" fillId="0" borderId="0" xfId="0" applyNumberFormat="1" applyFont="1" applyFill="1" applyBorder="1" applyAlignment="1">
      <alignment horizontal="left" vertical="top" wrapText="1"/>
    </xf>
    <xf numFmtId="178" fontId="1" fillId="0" borderId="0" xfId="0" applyNumberFormat="1" applyFont="1" applyFill="1" applyBorder="1" applyAlignment="1">
      <alignment horizontal="left" vertical="top" wrapText="1"/>
    </xf>
    <xf numFmtId="176" fontId="1" fillId="0" borderId="0" xfId="0" applyNumberFormat="1" applyFont="1" applyFill="1" applyBorder="1" applyAlignment="1">
      <alignment horizontal="left" vertical="top" wrapText="1"/>
    </xf>
    <xf numFmtId="0" fontId="1" fillId="0" borderId="0" xfId="0" applyFont="1" applyFill="1" applyBorder="1" applyAlignment="1">
      <alignment horizontal="left" vertical="center" wrapText="1"/>
    </xf>
    <xf numFmtId="0" fontId="2" fillId="0" borderId="0" xfId="0" applyNumberFormat="1" applyFont="1" applyFill="1" applyAlignment="1">
      <alignment horizontal="center" vertical="center" wrapText="1"/>
    </xf>
    <xf numFmtId="176" fontId="2" fillId="0" borderId="0" xfId="0" applyNumberFormat="1" applyFont="1" applyFill="1" applyAlignment="1">
      <alignment horizontal="center" vertical="center" wrapText="1"/>
    </xf>
    <xf numFmtId="178" fontId="2" fillId="0" borderId="0" xfId="0" applyNumberFormat="1" applyFont="1" applyFill="1" applyAlignment="1">
      <alignment horizontal="center" vertical="center" wrapText="1"/>
    </xf>
    <xf numFmtId="0" fontId="2" fillId="0" borderId="0" xfId="0" applyNumberFormat="1" applyFont="1" applyFill="1" applyAlignment="1">
      <alignment horizontal="left" vertical="center" wrapText="1"/>
    </xf>
    <xf numFmtId="0" fontId="3" fillId="0" borderId="0" xfId="0" applyFont="1" applyFill="1" applyAlignment="1">
      <alignment horizontal="left" vertical="center"/>
    </xf>
    <xf numFmtId="0" fontId="4" fillId="0" borderId="1" xfId="0" applyFont="1" applyFill="1" applyBorder="1" applyAlignment="1">
      <alignment horizontal="center" vertical="center" wrapText="1"/>
    </xf>
    <xf numFmtId="176" fontId="4" fillId="0" borderId="1" xfId="0" applyNumberFormat="1" applyFont="1" applyFill="1" applyBorder="1" applyAlignment="1">
      <alignment horizontal="center" vertical="center" wrapText="1"/>
    </xf>
    <xf numFmtId="0" fontId="4" fillId="0" borderId="2" xfId="0" applyFont="1" applyFill="1" applyBorder="1" applyAlignment="1">
      <alignment horizontal="center" vertical="center" wrapText="1"/>
    </xf>
    <xf numFmtId="178" fontId="4" fillId="0" borderId="1" xfId="0" applyNumberFormat="1" applyFont="1" applyFill="1" applyBorder="1" applyAlignment="1">
      <alignment horizontal="center" vertical="center" wrapText="1"/>
    </xf>
    <xf numFmtId="0" fontId="4" fillId="0" borderId="1" xfId="0" applyFont="1" applyFill="1" applyBorder="1" applyAlignment="1">
      <alignment horizontal="left" vertical="center" wrapText="1"/>
    </xf>
    <xf numFmtId="0" fontId="5" fillId="0" borderId="1" xfId="0" applyFont="1" applyFill="1" applyBorder="1" applyAlignment="1">
      <alignment horizontal="left" vertical="center" wrapText="1"/>
    </xf>
    <xf numFmtId="0" fontId="5" fillId="0" borderId="1" xfId="0" applyNumberFormat="1" applyFont="1" applyFill="1" applyBorder="1" applyAlignment="1">
      <alignment horizontal="center" vertical="center" wrapText="1"/>
    </xf>
    <xf numFmtId="0" fontId="1" fillId="0" borderId="1" xfId="0" applyNumberFormat="1" applyFont="1" applyFill="1" applyBorder="1" applyAlignment="1">
      <alignment horizontal="center" vertical="center" wrapText="1"/>
    </xf>
    <xf numFmtId="176" fontId="1" fillId="0" borderId="1" xfId="0" applyNumberFormat="1" applyFont="1" applyFill="1" applyBorder="1" applyAlignment="1">
      <alignment horizontal="center" vertical="center" wrapText="1"/>
    </xf>
    <xf numFmtId="0" fontId="1" fillId="0" borderId="2" xfId="0" applyNumberFormat="1" applyFont="1" applyFill="1" applyBorder="1" applyAlignment="1">
      <alignment horizontal="center" vertical="center" wrapText="1"/>
    </xf>
    <xf numFmtId="178" fontId="1" fillId="0" borderId="1" xfId="0" applyNumberFormat="1" applyFont="1" applyFill="1" applyBorder="1" applyAlignment="1">
      <alignment horizontal="center" vertical="center" wrapText="1"/>
    </xf>
    <xf numFmtId="176" fontId="6" fillId="0" borderId="1" xfId="0" applyNumberFormat="1" applyFont="1" applyFill="1" applyBorder="1" applyAlignment="1">
      <alignment horizontal="center" vertical="center"/>
    </xf>
    <xf numFmtId="0" fontId="1" fillId="0" borderId="3" xfId="0" applyFont="1" applyFill="1" applyBorder="1" applyAlignment="1">
      <alignment horizontal="left" vertical="center" wrapText="1"/>
    </xf>
    <xf numFmtId="0" fontId="1" fillId="0" borderId="3" xfId="0" applyFont="1" applyFill="1" applyBorder="1" applyAlignment="1">
      <alignment horizontal="center" vertical="center" wrapText="1"/>
    </xf>
    <xf numFmtId="0" fontId="1" fillId="0" borderId="4" xfId="0" applyFont="1" applyFill="1" applyBorder="1" applyAlignment="1">
      <alignment horizontal="left" vertical="center" wrapText="1"/>
    </xf>
    <xf numFmtId="0" fontId="1" fillId="0" borderId="5" xfId="0" applyFont="1" applyFill="1" applyBorder="1" applyAlignment="1">
      <alignment horizontal="left" vertical="center" wrapText="1"/>
    </xf>
    <xf numFmtId="0" fontId="1" fillId="0" borderId="5" xfId="0" applyFont="1" applyFill="1" applyBorder="1" applyAlignment="1">
      <alignment horizontal="center" vertical="center" wrapText="1"/>
    </xf>
    <xf numFmtId="0" fontId="1" fillId="0" borderId="1" xfId="0" applyFont="1" applyFill="1" applyBorder="1" applyAlignment="1">
      <alignment horizontal="left" vertical="center" wrapText="1"/>
    </xf>
    <xf numFmtId="176" fontId="5" fillId="0" borderId="6" xfId="0" applyNumberFormat="1" applyFont="1" applyFill="1" applyBorder="1" applyAlignment="1">
      <alignment horizontal="center" vertical="center" wrapText="1"/>
    </xf>
    <xf numFmtId="178" fontId="5" fillId="0" borderId="1" xfId="0" applyNumberFormat="1" applyFont="1" applyFill="1" applyBorder="1" applyAlignment="1">
      <alignment horizontal="left" vertical="center" wrapText="1"/>
    </xf>
    <xf numFmtId="0" fontId="1" fillId="0" borderId="4" xfId="0" applyFont="1" applyFill="1" applyBorder="1" applyAlignment="1">
      <alignment horizontal="center" vertical="center" wrapText="1"/>
    </xf>
    <xf numFmtId="0" fontId="5" fillId="0" borderId="7" xfId="0" applyNumberFormat="1" applyFont="1" applyFill="1" applyBorder="1" applyAlignment="1">
      <alignment horizontal="center" vertical="center" wrapText="1"/>
    </xf>
    <xf numFmtId="49" fontId="5" fillId="0" borderId="7" xfId="0" applyNumberFormat="1" applyFont="1" applyFill="1" applyBorder="1" applyAlignment="1">
      <alignment horizontal="center" vertical="center" wrapText="1"/>
    </xf>
    <xf numFmtId="0" fontId="5" fillId="0" borderId="3" xfId="0" applyFont="1" applyFill="1" applyBorder="1" applyAlignment="1">
      <alignment horizontal="left" vertical="center" wrapText="1"/>
    </xf>
    <xf numFmtId="178" fontId="7" fillId="0" borderId="1" xfId="0" applyNumberFormat="1" applyFont="1" applyFill="1" applyBorder="1" applyAlignment="1">
      <alignment horizontal="center" vertical="center" wrapText="1"/>
    </xf>
    <xf numFmtId="0" fontId="8" fillId="0" borderId="1" xfId="0" applyFont="1" applyFill="1" applyBorder="1" applyAlignment="1">
      <alignment horizontal="left" vertical="center" wrapText="1"/>
    </xf>
    <xf numFmtId="0" fontId="5" fillId="0" borderId="4" xfId="0" applyFont="1" applyFill="1" applyBorder="1" applyAlignment="1">
      <alignment horizontal="left" vertical="center" wrapText="1"/>
    </xf>
    <xf numFmtId="0" fontId="8" fillId="0" borderId="3" xfId="0" applyFont="1" applyFill="1" applyBorder="1" applyAlignment="1">
      <alignment horizontal="left" vertical="center" wrapText="1"/>
    </xf>
    <xf numFmtId="0" fontId="8" fillId="0" borderId="4" xfId="0" applyFont="1" applyFill="1" applyBorder="1" applyAlignment="1">
      <alignment horizontal="left" vertical="center" wrapText="1"/>
    </xf>
    <xf numFmtId="0" fontId="1" fillId="0" borderId="1" xfId="0" applyFont="1" applyFill="1" applyBorder="1" applyAlignment="1">
      <alignment horizontal="center" vertical="center" wrapText="1"/>
    </xf>
    <xf numFmtId="0" fontId="5" fillId="2" borderId="7" xfId="0" applyNumberFormat="1" applyFont="1" applyFill="1" applyBorder="1" applyAlignment="1">
      <alignment horizontal="center" vertical="center" wrapText="1"/>
    </xf>
    <xf numFmtId="0" fontId="5" fillId="2" borderId="1" xfId="0" applyNumberFormat="1" applyFont="1" applyFill="1" applyBorder="1" applyAlignment="1">
      <alignment horizontal="center" vertical="center" wrapText="1"/>
    </xf>
    <xf numFmtId="0" fontId="1" fillId="2" borderId="1" xfId="0" applyNumberFormat="1" applyFont="1" applyFill="1" applyBorder="1" applyAlignment="1">
      <alignment horizontal="center" vertical="center" wrapText="1"/>
    </xf>
    <xf numFmtId="176" fontId="5" fillId="2" borderId="1" xfId="0" applyNumberFormat="1" applyFont="1" applyFill="1" applyBorder="1" applyAlignment="1">
      <alignment horizontal="center" vertical="center" wrapText="1"/>
    </xf>
    <xf numFmtId="0" fontId="1" fillId="2" borderId="2" xfId="0" applyNumberFormat="1" applyFont="1" applyFill="1" applyBorder="1" applyAlignment="1">
      <alignment horizontal="center" vertical="center" wrapText="1"/>
    </xf>
    <xf numFmtId="178" fontId="1" fillId="2" borderId="1" xfId="0" applyNumberFormat="1" applyFont="1" applyFill="1" applyBorder="1" applyAlignment="1">
      <alignment horizontal="center" vertical="center" wrapText="1"/>
    </xf>
    <xf numFmtId="176" fontId="1" fillId="2" borderId="1" xfId="0" applyNumberFormat="1" applyFont="1" applyFill="1" applyBorder="1" applyAlignment="1">
      <alignment horizontal="center" vertical="center" wrapText="1"/>
    </xf>
    <xf numFmtId="176" fontId="6" fillId="2" borderId="1" xfId="0" applyNumberFormat="1" applyFont="1" applyFill="1" applyBorder="1" applyAlignment="1">
      <alignment horizontal="center" vertical="center"/>
    </xf>
    <xf numFmtId="0" fontId="5" fillId="2" borderId="1" xfId="0" applyFont="1" applyFill="1" applyBorder="1" applyAlignment="1">
      <alignment horizontal="left" vertical="center" wrapText="1"/>
    </xf>
    <xf numFmtId="0" fontId="1" fillId="2" borderId="5" xfId="0" applyFont="1" applyFill="1" applyBorder="1" applyAlignment="1">
      <alignment horizontal="left" vertical="center" wrapText="1"/>
    </xf>
    <xf numFmtId="0" fontId="1" fillId="2" borderId="5" xfId="0" applyFont="1" applyFill="1" applyBorder="1" applyAlignment="1">
      <alignment horizontal="center" vertical="center" wrapText="1"/>
    </xf>
    <xf numFmtId="176" fontId="5" fillId="0" borderId="1" xfId="0" applyNumberFormat="1" applyFont="1" applyFill="1" applyBorder="1" applyAlignment="1">
      <alignment horizontal="center" vertical="center" wrapText="1"/>
    </xf>
    <xf numFmtId="0" fontId="9" fillId="0" borderId="1" xfId="0" applyFont="1" applyFill="1" applyBorder="1" applyAlignment="1">
      <alignment horizontal="left" vertical="center" wrapText="1"/>
    </xf>
    <xf numFmtId="0" fontId="9" fillId="0" borderId="3" xfId="0" applyFont="1" applyFill="1" applyBorder="1" applyAlignment="1">
      <alignment horizontal="left" vertical="center" wrapText="1"/>
    </xf>
    <xf numFmtId="0" fontId="9" fillId="0" borderId="4" xfId="0" applyFont="1" applyFill="1" applyBorder="1" applyAlignment="1">
      <alignment horizontal="left" vertical="center" wrapText="1"/>
    </xf>
    <xf numFmtId="0" fontId="9" fillId="0" borderId="5" xfId="0" applyFont="1" applyFill="1" applyBorder="1" applyAlignment="1">
      <alignment horizontal="left" vertical="center" wrapText="1"/>
    </xf>
    <xf numFmtId="49" fontId="5" fillId="0" borderId="1" xfId="0" applyNumberFormat="1"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178" fontId="5" fillId="0" borderId="1" xfId="0" applyNumberFormat="1" applyFont="1" applyFill="1" applyBorder="1" applyAlignment="1">
      <alignment horizontal="center" vertical="center" wrapText="1"/>
    </xf>
    <xf numFmtId="176" fontId="10" fillId="0" borderId="1" xfId="0" applyNumberFormat="1" applyFont="1" applyFill="1" applyBorder="1" applyAlignment="1">
      <alignment horizontal="center" vertical="center" wrapText="1"/>
    </xf>
    <xf numFmtId="0" fontId="5" fillId="0" borderId="0" xfId="0" applyNumberFormat="1" applyFont="1" applyFill="1" applyAlignment="1">
      <alignment horizontal="left" vertical="center" wrapText="1"/>
    </xf>
    <xf numFmtId="176" fontId="5" fillId="0" borderId="0" xfId="0" applyNumberFormat="1" applyFont="1" applyFill="1" applyAlignment="1">
      <alignment horizontal="left" vertical="center" wrapText="1"/>
    </xf>
    <xf numFmtId="0" fontId="5" fillId="0" borderId="0" xfId="0" applyNumberFormat="1" applyFont="1" applyFill="1" applyAlignment="1">
      <alignment horizontal="center" vertical="center" wrapText="1"/>
    </xf>
    <xf numFmtId="0" fontId="11" fillId="0" borderId="0" xfId="0" applyFont="1" applyFill="1" applyBorder="1" applyAlignment="1">
      <alignment horizontal="left" vertical="top" wrapText="1"/>
    </xf>
    <xf numFmtId="49" fontId="5" fillId="0" borderId="0" xfId="0" applyNumberFormat="1" applyFont="1" applyFill="1" applyAlignment="1">
      <alignment horizontal="left" vertical="center" wrapText="1"/>
    </xf>
    <xf numFmtId="49" fontId="5" fillId="0" borderId="0" xfId="0" applyNumberFormat="1" applyFont="1" applyFill="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80"/>
  <sheetViews>
    <sheetView showZeros="0" tabSelected="1" view="pageBreakPreview" zoomScale="85" zoomScaleNormal="85" workbookViewId="0">
      <pane ySplit="3" topLeftCell="A33" activePane="bottomLeft" state="frozen"/>
      <selection/>
      <selection pane="bottomLeft" activeCell="I35" sqref="I35"/>
    </sheetView>
  </sheetViews>
  <sheetFormatPr defaultColWidth="9" defaultRowHeight="25" customHeight="1"/>
  <cols>
    <col min="1" max="1" width="8.38333333333333" style="3" customWidth="1"/>
    <col min="2" max="2" width="16.7583333333333" style="4" customWidth="1"/>
    <col min="3" max="3" width="6.475" style="3" customWidth="1"/>
    <col min="4" max="4" width="12.65" style="5" customWidth="1"/>
    <col min="5" max="5" width="8.525" style="6" customWidth="1"/>
    <col min="6" max="6" width="9.85" style="7" customWidth="1"/>
    <col min="7" max="7" width="9.85" style="5" customWidth="1"/>
    <col min="8" max="9" width="12.35" style="8" customWidth="1"/>
    <col min="10" max="10" width="110.25" style="9" customWidth="1"/>
    <col min="11" max="11" width="35.875" style="9" customWidth="1"/>
    <col min="12" max="12" width="12.35" style="4" customWidth="1"/>
    <col min="13" max="14" width="17.0833333333333" style="1" customWidth="1"/>
    <col min="15" max="16384" width="9" style="1"/>
  </cols>
  <sheetData>
    <row r="1" ht="50" customHeight="1" spans="1:12">
      <c r="A1" s="10" t="s">
        <v>0</v>
      </c>
      <c r="B1" s="10"/>
      <c r="C1" s="10"/>
      <c r="D1" s="11"/>
      <c r="E1" s="10"/>
      <c r="F1" s="12"/>
      <c r="G1" s="11"/>
      <c r="H1" s="11"/>
      <c r="I1" s="11"/>
      <c r="J1" s="13"/>
      <c r="K1" s="13"/>
      <c r="L1" s="10"/>
    </row>
    <row r="2" ht="31" customHeight="1" spans="1:12">
      <c r="A2" s="14" t="s">
        <v>1</v>
      </c>
      <c r="B2" s="14"/>
      <c r="C2" s="14"/>
      <c r="D2" s="14"/>
      <c r="E2" s="14"/>
      <c r="F2" s="14"/>
      <c r="G2" s="14"/>
      <c r="H2" s="14"/>
      <c r="I2" s="14"/>
      <c r="J2" s="14"/>
      <c r="K2" s="14"/>
      <c r="L2" s="14"/>
    </row>
    <row r="3" ht="30" customHeight="1" spans="1:12">
      <c r="A3" s="15" t="s">
        <v>2</v>
      </c>
      <c r="B3" s="15" t="s">
        <v>3</v>
      </c>
      <c r="C3" s="15" t="s">
        <v>4</v>
      </c>
      <c r="D3" s="16" t="s">
        <v>5</v>
      </c>
      <c r="E3" s="17" t="s">
        <v>6</v>
      </c>
      <c r="F3" s="18" t="s">
        <v>7</v>
      </c>
      <c r="G3" s="16" t="s">
        <v>8</v>
      </c>
      <c r="H3" s="16" t="s">
        <v>9</v>
      </c>
      <c r="I3" s="16" t="s">
        <v>10</v>
      </c>
      <c r="J3" s="19" t="s">
        <v>11</v>
      </c>
      <c r="K3" s="20" t="s">
        <v>12</v>
      </c>
      <c r="L3" s="15" t="s">
        <v>13</v>
      </c>
    </row>
    <row r="4" s="1" customFormat="1" ht="79" customHeight="1" spans="1:12">
      <c r="A4" s="21" t="s">
        <v>14</v>
      </c>
      <c r="B4" s="21" t="s">
        <v>15</v>
      </c>
      <c r="C4" s="22" t="s">
        <v>16</v>
      </c>
      <c r="D4" s="23">
        <f>969779.65+72822.72</f>
        <v>1042602.37</v>
      </c>
      <c r="E4" s="24">
        <v>3</v>
      </c>
      <c r="F4" s="25">
        <v>0.65</v>
      </c>
      <c r="G4" s="23">
        <f t="shared" ref="G4:G10" si="0">ROUND(F4*1.03,2)</f>
        <v>0.67</v>
      </c>
      <c r="H4" s="26">
        <f t="shared" ref="H4:H10" si="1">ROUND(F4*D4,2)</f>
        <v>677691.54</v>
      </c>
      <c r="I4" s="23">
        <f t="shared" ref="I4:I10" si="2">ROUND(G4*D4,2)</f>
        <v>698543.59</v>
      </c>
      <c r="J4" s="27" t="s">
        <v>17</v>
      </c>
      <c r="K4" s="27" t="s">
        <v>18</v>
      </c>
      <c r="L4" s="28" t="s">
        <v>19</v>
      </c>
    </row>
    <row r="5" s="1" customFormat="1" ht="79" customHeight="1" spans="1:12">
      <c r="A5" s="21" t="s">
        <v>20</v>
      </c>
      <c r="B5" s="21" t="s">
        <v>21</v>
      </c>
      <c r="C5" s="22" t="s">
        <v>16</v>
      </c>
      <c r="D5" s="23">
        <f>5056348.6+138133.2-305833.64+167700.44</f>
        <v>5056348.6</v>
      </c>
      <c r="E5" s="24">
        <v>3</v>
      </c>
      <c r="F5" s="25">
        <v>0.65</v>
      </c>
      <c r="G5" s="23">
        <f t="shared" si="0"/>
        <v>0.67</v>
      </c>
      <c r="H5" s="26">
        <f t="shared" si="1"/>
        <v>3286626.59</v>
      </c>
      <c r="I5" s="23">
        <f t="shared" si="2"/>
        <v>3387753.56</v>
      </c>
      <c r="J5" s="29"/>
      <c r="K5" s="30"/>
      <c r="L5" s="31"/>
    </row>
    <row r="6" s="1" customFormat="1" ht="409" customHeight="1" spans="1:12">
      <c r="A6" s="21" t="s">
        <v>22</v>
      </c>
      <c r="B6" s="21" t="s">
        <v>23</v>
      </c>
      <c r="C6" s="22" t="s">
        <v>24</v>
      </c>
      <c r="D6" s="23">
        <v>24536.63</v>
      </c>
      <c r="E6" s="24">
        <v>3</v>
      </c>
      <c r="F6" s="25">
        <v>420</v>
      </c>
      <c r="G6" s="23">
        <f t="shared" si="0"/>
        <v>432.6</v>
      </c>
      <c r="H6" s="26">
        <f t="shared" si="1"/>
        <v>10305384.6</v>
      </c>
      <c r="I6" s="23">
        <f t="shared" si="2"/>
        <v>10614546.14</v>
      </c>
      <c r="J6" s="32" t="s">
        <v>25</v>
      </c>
      <c r="K6" s="30"/>
      <c r="L6" s="31"/>
    </row>
    <row r="7" s="1" customFormat="1" ht="112" customHeight="1" spans="1:12">
      <c r="A7" s="21" t="s">
        <v>26</v>
      </c>
      <c r="B7" s="21" t="s">
        <v>27</v>
      </c>
      <c r="C7" s="22" t="s">
        <v>28</v>
      </c>
      <c r="D7" s="23">
        <f>D6</f>
        <v>24536.63</v>
      </c>
      <c r="E7" s="24">
        <v>3</v>
      </c>
      <c r="F7" s="25">
        <v>36</v>
      </c>
      <c r="G7" s="23">
        <f t="shared" si="0"/>
        <v>37.08</v>
      </c>
      <c r="H7" s="26">
        <f t="shared" si="1"/>
        <v>883318.68</v>
      </c>
      <c r="I7" s="23">
        <f t="shared" si="2"/>
        <v>909818.24</v>
      </c>
      <c r="J7" s="32" t="s">
        <v>29</v>
      </c>
      <c r="K7" s="30"/>
      <c r="L7" s="31"/>
    </row>
    <row r="8" ht="199" customHeight="1" spans="1:12">
      <c r="A8" s="21" t="s">
        <v>30</v>
      </c>
      <c r="B8" s="21" t="s">
        <v>31</v>
      </c>
      <c r="C8" s="22" t="s">
        <v>16</v>
      </c>
      <c r="D8" s="23">
        <f>819209</f>
        <v>819209</v>
      </c>
      <c r="E8" s="24">
        <v>3</v>
      </c>
      <c r="F8" s="25">
        <v>4.5</v>
      </c>
      <c r="G8" s="23">
        <f t="shared" si="0"/>
        <v>4.64</v>
      </c>
      <c r="H8" s="26">
        <f t="shared" si="1"/>
        <v>3686440.5</v>
      </c>
      <c r="I8" s="23">
        <f t="shared" si="2"/>
        <v>3801129.76</v>
      </c>
      <c r="J8" s="32" t="s">
        <v>32</v>
      </c>
      <c r="K8" s="30"/>
      <c r="L8" s="31"/>
    </row>
    <row r="9" ht="68" customHeight="1" spans="1:12">
      <c r="A9" s="21" t="s">
        <v>14</v>
      </c>
      <c r="B9" s="21" t="s">
        <v>15</v>
      </c>
      <c r="C9" s="22" t="s">
        <v>16</v>
      </c>
      <c r="D9" s="33">
        <v>216215.2</v>
      </c>
      <c r="E9" s="24">
        <v>3</v>
      </c>
      <c r="F9" s="25">
        <v>0.65</v>
      </c>
      <c r="G9" s="23">
        <f t="shared" si="0"/>
        <v>0.67</v>
      </c>
      <c r="H9" s="26">
        <f t="shared" si="1"/>
        <v>140539.88</v>
      </c>
      <c r="I9" s="23">
        <f t="shared" si="2"/>
        <v>144864.18</v>
      </c>
      <c r="J9" s="27" t="s">
        <v>33</v>
      </c>
      <c r="K9" s="30"/>
      <c r="L9" s="28" t="s">
        <v>34</v>
      </c>
    </row>
    <row r="10" ht="68" customHeight="1" spans="1:12">
      <c r="A10" s="21" t="s">
        <v>20</v>
      </c>
      <c r="B10" s="21" t="s">
        <v>21</v>
      </c>
      <c r="C10" s="22" t="s">
        <v>16</v>
      </c>
      <c r="D10" s="33">
        <v>780181.2</v>
      </c>
      <c r="E10" s="24">
        <v>3</v>
      </c>
      <c r="F10" s="25">
        <v>0.65</v>
      </c>
      <c r="G10" s="23">
        <f t="shared" si="0"/>
        <v>0.67</v>
      </c>
      <c r="H10" s="26">
        <f t="shared" si="1"/>
        <v>507117.78</v>
      </c>
      <c r="I10" s="23">
        <f t="shared" si="2"/>
        <v>522721.4</v>
      </c>
      <c r="J10" s="29"/>
      <c r="K10" s="30"/>
      <c r="L10" s="31"/>
    </row>
    <row r="11" ht="140" customHeight="1" spans="1:12">
      <c r="A11" s="21" t="s">
        <v>35</v>
      </c>
      <c r="B11" s="21" t="s">
        <v>36</v>
      </c>
      <c r="C11" s="22" t="s">
        <v>24</v>
      </c>
      <c r="D11" s="33">
        <v>3797.92</v>
      </c>
      <c r="E11" s="24">
        <v>3</v>
      </c>
      <c r="F11" s="25">
        <f>360/1.03</f>
        <v>349.514563106796</v>
      </c>
      <c r="G11" s="23">
        <f t="shared" ref="G11:G16" si="3">ROUND(F11*1.03,2)</f>
        <v>360</v>
      </c>
      <c r="H11" s="26">
        <f t="shared" ref="H11:H16" si="4">ROUND(F11*D11,2)</f>
        <v>1327428.35</v>
      </c>
      <c r="I11" s="23">
        <f t="shared" ref="I11:I16" si="5">ROUND(G11*D11,2)</f>
        <v>1367251.2</v>
      </c>
      <c r="J11" s="20" t="s">
        <v>37</v>
      </c>
      <c r="K11" s="30"/>
      <c r="L11" s="31"/>
    </row>
    <row r="12" ht="184" customHeight="1" spans="1:12">
      <c r="A12" s="21" t="s">
        <v>30</v>
      </c>
      <c r="B12" s="21" t="s">
        <v>31</v>
      </c>
      <c r="C12" s="22" t="s">
        <v>16</v>
      </c>
      <c r="D12" s="33">
        <f>163890.1-48095.98</f>
        <v>115794.12</v>
      </c>
      <c r="E12" s="24">
        <v>3</v>
      </c>
      <c r="F12" s="25">
        <v>4.5</v>
      </c>
      <c r="G12" s="23">
        <f t="shared" si="3"/>
        <v>4.64</v>
      </c>
      <c r="H12" s="26">
        <f t="shared" si="4"/>
        <v>521073.54</v>
      </c>
      <c r="I12" s="23">
        <f t="shared" si="5"/>
        <v>537284.72</v>
      </c>
      <c r="J12" s="34" t="s">
        <v>32</v>
      </c>
      <c r="K12" s="30"/>
      <c r="L12" s="35"/>
    </row>
    <row r="13" ht="69" customHeight="1" spans="1:12">
      <c r="A13" s="36" t="s">
        <v>14</v>
      </c>
      <c r="B13" s="36" t="s">
        <v>15</v>
      </c>
      <c r="C13" s="22" t="s">
        <v>16</v>
      </c>
      <c r="D13" s="33">
        <v>16090.1</v>
      </c>
      <c r="E13" s="24">
        <v>3</v>
      </c>
      <c r="F13" s="25">
        <v>0.65</v>
      </c>
      <c r="G13" s="23">
        <f t="shared" si="3"/>
        <v>0.67</v>
      </c>
      <c r="H13" s="26">
        <f t="shared" si="4"/>
        <v>10458.57</v>
      </c>
      <c r="I13" s="23">
        <f t="shared" si="5"/>
        <v>10780.37</v>
      </c>
      <c r="J13" s="27" t="s">
        <v>33</v>
      </c>
      <c r="K13" s="30"/>
      <c r="L13" s="28" t="s">
        <v>38</v>
      </c>
    </row>
    <row r="14" ht="69" customHeight="1" spans="1:12">
      <c r="A14" s="37" t="s">
        <v>20</v>
      </c>
      <c r="B14" s="36" t="s">
        <v>21</v>
      </c>
      <c r="C14" s="22" t="s">
        <v>16</v>
      </c>
      <c r="D14" s="33">
        <v>1659.8</v>
      </c>
      <c r="E14" s="24">
        <v>3</v>
      </c>
      <c r="F14" s="25">
        <v>0.65</v>
      </c>
      <c r="G14" s="23">
        <f t="shared" si="3"/>
        <v>0.67</v>
      </c>
      <c r="H14" s="26">
        <f t="shared" si="4"/>
        <v>1078.87</v>
      </c>
      <c r="I14" s="23">
        <f t="shared" si="5"/>
        <v>1112.07</v>
      </c>
      <c r="J14" s="29"/>
      <c r="K14" s="30"/>
      <c r="L14" s="31"/>
    </row>
    <row r="15" ht="130" customHeight="1" spans="1:12">
      <c r="A15" s="36" t="s">
        <v>39</v>
      </c>
      <c r="B15" s="36" t="s">
        <v>40</v>
      </c>
      <c r="C15" s="22" t="s">
        <v>16</v>
      </c>
      <c r="D15" s="33">
        <v>835826.3</v>
      </c>
      <c r="E15" s="24">
        <v>3</v>
      </c>
      <c r="F15" s="25">
        <v>0.65</v>
      </c>
      <c r="G15" s="23">
        <f t="shared" si="3"/>
        <v>0.67</v>
      </c>
      <c r="H15" s="26">
        <f t="shared" si="4"/>
        <v>543287.1</v>
      </c>
      <c r="I15" s="23">
        <f t="shared" si="5"/>
        <v>560003.62</v>
      </c>
      <c r="J15" s="20" t="s">
        <v>41</v>
      </c>
      <c r="K15" s="30"/>
      <c r="L15" s="31"/>
    </row>
    <row r="16" ht="130" customHeight="1" spans="1:12">
      <c r="A16" s="36" t="s">
        <v>42</v>
      </c>
      <c r="B16" s="36" t="s">
        <v>40</v>
      </c>
      <c r="C16" s="22" t="s">
        <v>16</v>
      </c>
      <c r="D16" s="33">
        <v>835826.3</v>
      </c>
      <c r="E16" s="24">
        <v>3</v>
      </c>
      <c r="F16" s="25">
        <v>0.3</v>
      </c>
      <c r="G16" s="23">
        <f t="shared" si="3"/>
        <v>0.31</v>
      </c>
      <c r="H16" s="26">
        <f t="shared" si="4"/>
        <v>250747.89</v>
      </c>
      <c r="I16" s="23">
        <f t="shared" si="5"/>
        <v>259106.15</v>
      </c>
      <c r="J16" s="38" t="s">
        <v>43</v>
      </c>
      <c r="K16" s="30"/>
      <c r="L16" s="31"/>
    </row>
    <row r="17" ht="129" customHeight="1" spans="1:12">
      <c r="A17" s="37" t="s">
        <v>44</v>
      </c>
      <c r="B17" s="36" t="s">
        <v>45</v>
      </c>
      <c r="C17" s="22" t="s">
        <v>24</v>
      </c>
      <c r="D17" s="33">
        <v>6471.95</v>
      </c>
      <c r="E17" s="24">
        <v>3</v>
      </c>
      <c r="F17" s="25">
        <f>164/1.03</f>
        <v>159.223300970874</v>
      </c>
      <c r="G17" s="23">
        <f t="shared" ref="G17:G48" si="6">ROUND(F17*1.03,2)</f>
        <v>164</v>
      </c>
      <c r="H17" s="26">
        <f t="shared" ref="H17:H48" si="7">ROUND(F17*D17,2)</f>
        <v>1030485.24</v>
      </c>
      <c r="I17" s="23">
        <f t="shared" ref="I17:I48" si="8">ROUND(G17*D17,2)</f>
        <v>1061399.8</v>
      </c>
      <c r="J17" s="27" t="s">
        <v>46</v>
      </c>
      <c r="K17" s="30"/>
      <c r="L17" s="31"/>
    </row>
    <row r="18" ht="113" customHeight="1" spans="1:12">
      <c r="A18" s="37" t="s">
        <v>47</v>
      </c>
      <c r="B18" s="36" t="s">
        <v>48</v>
      </c>
      <c r="C18" s="22" t="s">
        <v>16</v>
      </c>
      <c r="D18" s="33">
        <v>23367.82</v>
      </c>
      <c r="E18" s="24">
        <v>3</v>
      </c>
      <c r="F18" s="25">
        <f>6/1.03</f>
        <v>5.8252427184466</v>
      </c>
      <c r="G18" s="23">
        <f t="shared" si="6"/>
        <v>6</v>
      </c>
      <c r="H18" s="26">
        <f t="shared" si="7"/>
        <v>136123.22</v>
      </c>
      <c r="I18" s="23">
        <f t="shared" si="8"/>
        <v>140206.92</v>
      </c>
      <c r="J18" s="27" t="s">
        <v>49</v>
      </c>
      <c r="K18" s="30"/>
      <c r="L18" s="28" t="s">
        <v>50</v>
      </c>
    </row>
    <row r="19" ht="81" customHeight="1" spans="1:12">
      <c r="A19" s="37" t="s">
        <v>51</v>
      </c>
      <c r="B19" s="36" t="s">
        <v>52</v>
      </c>
      <c r="C19" s="22" t="s">
        <v>53</v>
      </c>
      <c r="D19" s="33">
        <v>1291</v>
      </c>
      <c r="E19" s="24">
        <v>3</v>
      </c>
      <c r="F19" s="39">
        <f>37/1.03</f>
        <v>35.9223300970874</v>
      </c>
      <c r="G19" s="23">
        <f t="shared" si="6"/>
        <v>37</v>
      </c>
      <c r="H19" s="26">
        <f t="shared" si="7"/>
        <v>46375.73</v>
      </c>
      <c r="I19" s="23">
        <f t="shared" si="8"/>
        <v>47767</v>
      </c>
      <c r="J19" s="27" t="s">
        <v>54</v>
      </c>
      <c r="K19" s="30"/>
      <c r="L19" s="31"/>
    </row>
    <row r="20" ht="131" customHeight="1" spans="1:12">
      <c r="A20" s="37" t="s">
        <v>55</v>
      </c>
      <c r="B20" s="36" t="s">
        <v>56</v>
      </c>
      <c r="C20" s="22" t="s">
        <v>28</v>
      </c>
      <c r="D20" s="33">
        <v>52.29</v>
      </c>
      <c r="E20" s="24">
        <v>3</v>
      </c>
      <c r="F20" s="39">
        <f>98/1.03</f>
        <v>95.1456310679612</v>
      </c>
      <c r="G20" s="23">
        <f t="shared" si="6"/>
        <v>98</v>
      </c>
      <c r="H20" s="26">
        <f t="shared" si="7"/>
        <v>4975.17</v>
      </c>
      <c r="I20" s="23">
        <f t="shared" si="8"/>
        <v>5124.42</v>
      </c>
      <c r="J20" s="27" t="s">
        <v>57</v>
      </c>
      <c r="K20" s="30"/>
      <c r="L20" s="31"/>
    </row>
    <row r="21" ht="90" customHeight="1" spans="1:12">
      <c r="A21" s="37" t="s">
        <v>58</v>
      </c>
      <c r="B21" s="36" t="s">
        <v>59</v>
      </c>
      <c r="C21" s="22" t="s">
        <v>60</v>
      </c>
      <c r="D21" s="33">
        <v>1743</v>
      </c>
      <c r="E21" s="24">
        <v>3</v>
      </c>
      <c r="F21" s="39">
        <f>5/1.03</f>
        <v>4.85436893203883</v>
      </c>
      <c r="G21" s="23">
        <f t="shared" si="6"/>
        <v>5</v>
      </c>
      <c r="H21" s="26">
        <f t="shared" si="7"/>
        <v>8461.17</v>
      </c>
      <c r="I21" s="23">
        <f t="shared" si="8"/>
        <v>8715</v>
      </c>
      <c r="J21" s="27" t="s">
        <v>61</v>
      </c>
      <c r="K21" s="30"/>
      <c r="L21" s="31"/>
    </row>
    <row r="22" ht="131" customHeight="1" spans="1:12">
      <c r="A22" s="37" t="s">
        <v>62</v>
      </c>
      <c r="B22" s="36" t="s">
        <v>21</v>
      </c>
      <c r="C22" s="22" t="s">
        <v>16</v>
      </c>
      <c r="D22" s="33">
        <f>173361.6+53974.76-53974.76+32818.06</f>
        <v>206179.66</v>
      </c>
      <c r="E22" s="24">
        <v>3</v>
      </c>
      <c r="F22" s="25">
        <v>0.65</v>
      </c>
      <c r="G22" s="23">
        <f t="shared" si="6"/>
        <v>0.67</v>
      </c>
      <c r="H22" s="26">
        <f t="shared" si="7"/>
        <v>134016.78</v>
      </c>
      <c r="I22" s="23">
        <f t="shared" si="8"/>
        <v>138140.37</v>
      </c>
      <c r="J22" s="40" t="s">
        <v>33</v>
      </c>
      <c r="K22" s="30"/>
      <c r="L22" s="28" t="s">
        <v>63</v>
      </c>
    </row>
    <row r="23" s="1" customFormat="1" ht="56" customHeight="1" spans="1:12">
      <c r="A23" s="36" t="s">
        <v>64</v>
      </c>
      <c r="B23" s="36" t="s">
        <v>65</v>
      </c>
      <c r="C23" s="22" t="s">
        <v>24</v>
      </c>
      <c r="D23" s="33">
        <v>1451</v>
      </c>
      <c r="E23" s="24">
        <v>3</v>
      </c>
      <c r="F23" s="25">
        <f>72/1.03</f>
        <v>69.9029126213592</v>
      </c>
      <c r="G23" s="23">
        <f t="shared" si="6"/>
        <v>72</v>
      </c>
      <c r="H23" s="26">
        <f t="shared" si="7"/>
        <v>101429.13</v>
      </c>
      <c r="I23" s="23">
        <f t="shared" si="8"/>
        <v>104472</v>
      </c>
      <c r="J23" s="38" t="s">
        <v>66</v>
      </c>
      <c r="K23" s="30"/>
      <c r="L23" s="31"/>
    </row>
    <row r="24" ht="56" customHeight="1" spans="1:12">
      <c r="A24" s="36" t="s">
        <v>67</v>
      </c>
      <c r="B24" s="36" t="s">
        <v>68</v>
      </c>
      <c r="C24" s="22" t="s">
        <v>24</v>
      </c>
      <c r="D24" s="33">
        <v>1320.5</v>
      </c>
      <c r="E24" s="24">
        <v>3</v>
      </c>
      <c r="F24" s="25">
        <f>120/1.03</f>
        <v>116.504854368932</v>
      </c>
      <c r="G24" s="23">
        <f t="shared" si="6"/>
        <v>120</v>
      </c>
      <c r="H24" s="26">
        <f t="shared" si="7"/>
        <v>153844.66</v>
      </c>
      <c r="I24" s="23">
        <f t="shared" si="8"/>
        <v>158460</v>
      </c>
      <c r="J24" s="41"/>
      <c r="K24" s="30"/>
      <c r="L24" s="31"/>
    </row>
    <row r="25" ht="123" customHeight="1" spans="1:12">
      <c r="A25" s="37" t="s">
        <v>62</v>
      </c>
      <c r="B25" s="36" t="s">
        <v>21</v>
      </c>
      <c r="C25" s="22" t="s">
        <v>16</v>
      </c>
      <c r="D25" s="33">
        <v>355770.7</v>
      </c>
      <c r="E25" s="24">
        <v>3</v>
      </c>
      <c r="F25" s="25">
        <v>0.65</v>
      </c>
      <c r="G25" s="23">
        <f t="shared" si="6"/>
        <v>0.67</v>
      </c>
      <c r="H25" s="26">
        <f t="shared" si="7"/>
        <v>231250.96</v>
      </c>
      <c r="I25" s="23">
        <f t="shared" si="8"/>
        <v>238366.37</v>
      </c>
      <c r="J25" s="40" t="s">
        <v>33</v>
      </c>
      <c r="K25" s="30"/>
      <c r="L25" s="28" t="s">
        <v>69</v>
      </c>
    </row>
    <row r="26" ht="48" customHeight="1" spans="1:12">
      <c r="A26" s="37" t="s">
        <v>70</v>
      </c>
      <c r="B26" s="36" t="s">
        <v>15</v>
      </c>
      <c r="C26" s="22" t="s">
        <v>16</v>
      </c>
      <c r="D26" s="33">
        <f>9030.7+295.38</f>
        <v>9326.08</v>
      </c>
      <c r="E26" s="24">
        <v>3</v>
      </c>
      <c r="F26" s="25">
        <v>0.65</v>
      </c>
      <c r="G26" s="23">
        <f t="shared" si="6"/>
        <v>0.67</v>
      </c>
      <c r="H26" s="26">
        <f t="shared" si="7"/>
        <v>6061.95</v>
      </c>
      <c r="I26" s="23">
        <f t="shared" si="8"/>
        <v>6248.47</v>
      </c>
      <c r="J26" s="42" t="s">
        <v>33</v>
      </c>
      <c r="K26" s="30"/>
      <c r="L26" s="31"/>
    </row>
    <row r="27" ht="81" customHeight="1" spans="1:12">
      <c r="A27" s="36" t="s">
        <v>62</v>
      </c>
      <c r="B27" s="36" t="s">
        <v>21</v>
      </c>
      <c r="C27" s="22" t="s">
        <v>16</v>
      </c>
      <c r="D27" s="33">
        <v>618392.6</v>
      </c>
      <c r="E27" s="24">
        <v>3</v>
      </c>
      <c r="F27" s="25">
        <v>0.65</v>
      </c>
      <c r="G27" s="23">
        <f t="shared" si="6"/>
        <v>0.67</v>
      </c>
      <c r="H27" s="26">
        <f t="shared" si="7"/>
        <v>401955.19</v>
      </c>
      <c r="I27" s="23">
        <f t="shared" si="8"/>
        <v>414323.04</v>
      </c>
      <c r="J27" s="43"/>
      <c r="K27" s="30"/>
      <c r="L27" s="31"/>
    </row>
    <row r="28" ht="132" customHeight="1" spans="1:12">
      <c r="A28" s="37" t="s">
        <v>67</v>
      </c>
      <c r="B28" s="36" t="s">
        <v>68</v>
      </c>
      <c r="C28" s="22" t="s">
        <v>24</v>
      </c>
      <c r="D28" s="33">
        <v>4283.8</v>
      </c>
      <c r="E28" s="24">
        <v>3</v>
      </c>
      <c r="F28" s="25">
        <v>368</v>
      </c>
      <c r="G28" s="23">
        <f t="shared" si="6"/>
        <v>379.04</v>
      </c>
      <c r="H28" s="26">
        <f t="shared" si="7"/>
        <v>1576438.4</v>
      </c>
      <c r="I28" s="23">
        <f t="shared" si="8"/>
        <v>1623731.55</v>
      </c>
      <c r="J28" s="40" t="s">
        <v>71</v>
      </c>
      <c r="K28" s="30"/>
      <c r="L28" s="31"/>
    </row>
    <row r="29" ht="30" customHeight="1" spans="1:12">
      <c r="A29" s="37" t="s">
        <v>72</v>
      </c>
      <c r="B29" s="36" t="s">
        <v>73</v>
      </c>
      <c r="C29" s="22" t="s">
        <v>16</v>
      </c>
      <c r="D29" s="33">
        <v>11260.07</v>
      </c>
      <c r="E29" s="24">
        <v>3</v>
      </c>
      <c r="F29" s="25">
        <v>5</v>
      </c>
      <c r="G29" s="23">
        <f t="shared" si="6"/>
        <v>5.15</v>
      </c>
      <c r="H29" s="26">
        <f t="shared" si="7"/>
        <v>56300.35</v>
      </c>
      <c r="I29" s="23">
        <f t="shared" si="8"/>
        <v>57989.36</v>
      </c>
      <c r="J29" s="20" t="s">
        <v>74</v>
      </c>
      <c r="K29" s="30"/>
      <c r="L29" s="35"/>
    </row>
    <row r="30" s="1" customFormat="1" ht="68" customHeight="1" spans="1:12">
      <c r="A30" s="37" t="s">
        <v>64</v>
      </c>
      <c r="B30" s="36" t="s">
        <v>65</v>
      </c>
      <c r="C30" s="22" t="s">
        <v>24</v>
      </c>
      <c r="D30" s="33">
        <f>836.2-0.82</f>
        <v>835.38</v>
      </c>
      <c r="E30" s="24">
        <v>3</v>
      </c>
      <c r="F30" s="25">
        <v>100</v>
      </c>
      <c r="G30" s="23">
        <f t="shared" si="6"/>
        <v>103</v>
      </c>
      <c r="H30" s="26">
        <f t="shared" si="7"/>
        <v>83538</v>
      </c>
      <c r="I30" s="23">
        <f t="shared" si="8"/>
        <v>86044.14</v>
      </c>
      <c r="J30" s="38" t="s">
        <v>75</v>
      </c>
      <c r="K30" s="30"/>
      <c r="L30" s="44" t="s">
        <v>76</v>
      </c>
    </row>
    <row r="31" s="1" customFormat="1" ht="68" customHeight="1" spans="1:12">
      <c r="A31" s="37" t="s">
        <v>67</v>
      </c>
      <c r="B31" s="36" t="s">
        <v>68</v>
      </c>
      <c r="C31" s="22" t="s">
        <v>24</v>
      </c>
      <c r="D31" s="33">
        <f>20-0.76</f>
        <v>19.24</v>
      </c>
      <c r="E31" s="24">
        <v>3</v>
      </c>
      <c r="F31" s="25">
        <f>120/1.03</f>
        <v>116.504854368932</v>
      </c>
      <c r="G31" s="23">
        <f t="shared" si="6"/>
        <v>120</v>
      </c>
      <c r="H31" s="26">
        <f t="shared" si="7"/>
        <v>2241.55</v>
      </c>
      <c r="I31" s="23">
        <f t="shared" si="8"/>
        <v>2308.8</v>
      </c>
      <c r="J31" s="41"/>
      <c r="K31" s="30"/>
      <c r="L31" s="44"/>
    </row>
    <row r="32" s="1" customFormat="1" ht="30" customHeight="1" spans="1:12">
      <c r="A32" s="37" t="s">
        <v>77</v>
      </c>
      <c r="B32" s="36" t="s">
        <v>78</v>
      </c>
      <c r="C32" s="22" t="s">
        <v>16</v>
      </c>
      <c r="D32" s="33">
        <v>18205.7</v>
      </c>
      <c r="E32" s="24">
        <v>3</v>
      </c>
      <c r="F32" s="25">
        <v>4.5</v>
      </c>
      <c r="G32" s="23">
        <f t="shared" si="6"/>
        <v>4.64</v>
      </c>
      <c r="H32" s="26">
        <f t="shared" si="7"/>
        <v>81925.65</v>
      </c>
      <c r="I32" s="23">
        <f t="shared" si="8"/>
        <v>84474.45</v>
      </c>
      <c r="J32" s="32" t="s">
        <v>79</v>
      </c>
      <c r="K32" s="30"/>
      <c r="L32" s="28" t="s">
        <v>80</v>
      </c>
    </row>
    <row r="33" s="1" customFormat="1" ht="130" customHeight="1" spans="1:12">
      <c r="A33" s="37" t="s">
        <v>81</v>
      </c>
      <c r="B33" s="36" t="s">
        <v>82</v>
      </c>
      <c r="C33" s="22" t="s">
        <v>16</v>
      </c>
      <c r="D33" s="33">
        <v>58993</v>
      </c>
      <c r="E33" s="24">
        <v>3</v>
      </c>
      <c r="F33" s="25">
        <v>0.65</v>
      </c>
      <c r="G33" s="23">
        <f t="shared" si="6"/>
        <v>0.67</v>
      </c>
      <c r="H33" s="26">
        <f t="shared" si="7"/>
        <v>38345.45</v>
      </c>
      <c r="I33" s="23">
        <f t="shared" si="8"/>
        <v>39525.31</v>
      </c>
      <c r="J33" s="20" t="s">
        <v>83</v>
      </c>
      <c r="K33" s="30"/>
      <c r="L33" s="31"/>
    </row>
    <row r="34" s="1" customFormat="1" ht="130" customHeight="1" spans="1:12">
      <c r="A34" s="36" t="s">
        <v>84</v>
      </c>
      <c r="B34" s="36" t="s">
        <v>40</v>
      </c>
      <c r="C34" s="22" t="s">
        <v>16</v>
      </c>
      <c r="D34" s="33">
        <v>58993</v>
      </c>
      <c r="E34" s="24">
        <v>3</v>
      </c>
      <c r="F34" s="25">
        <v>0.3</v>
      </c>
      <c r="G34" s="23">
        <f t="shared" si="6"/>
        <v>0.31</v>
      </c>
      <c r="H34" s="26">
        <f t="shared" si="7"/>
        <v>17697.9</v>
      </c>
      <c r="I34" s="23">
        <f t="shared" si="8"/>
        <v>18287.83</v>
      </c>
      <c r="J34" s="38" t="s">
        <v>43</v>
      </c>
      <c r="K34" s="30"/>
      <c r="L34" s="31"/>
    </row>
    <row r="35" s="2" customFormat="1" ht="164" customHeight="1" spans="1:12">
      <c r="A35" s="45" t="s">
        <v>85</v>
      </c>
      <c r="B35" s="46" t="s">
        <v>86</v>
      </c>
      <c r="C35" s="47" t="s">
        <v>28</v>
      </c>
      <c r="D35" s="48">
        <v>300</v>
      </c>
      <c r="E35" s="49">
        <v>3</v>
      </c>
      <c r="F35" s="50">
        <v>400</v>
      </c>
      <c r="G35" s="51">
        <f t="shared" si="6"/>
        <v>412</v>
      </c>
      <c r="H35" s="52">
        <f t="shared" si="7"/>
        <v>120000</v>
      </c>
      <c r="I35" s="51">
        <f t="shared" si="8"/>
        <v>123600</v>
      </c>
      <c r="J35" s="53" t="s">
        <v>87</v>
      </c>
      <c r="K35" s="54"/>
      <c r="L35" s="55"/>
    </row>
    <row r="36" s="1" customFormat="1" ht="45" customHeight="1" spans="1:12">
      <c r="A36" s="36" t="s">
        <v>88</v>
      </c>
      <c r="B36" s="21" t="s">
        <v>89</v>
      </c>
      <c r="C36" s="22" t="s">
        <v>60</v>
      </c>
      <c r="D36" s="56">
        <f>ROUND(51.36*666.67,0)</f>
        <v>34240</v>
      </c>
      <c r="E36" s="24">
        <v>3</v>
      </c>
      <c r="F36" s="25">
        <v>1.5</v>
      </c>
      <c r="G36" s="23">
        <f t="shared" si="6"/>
        <v>1.55</v>
      </c>
      <c r="H36" s="26">
        <f t="shared" si="7"/>
        <v>51360</v>
      </c>
      <c r="I36" s="23">
        <f t="shared" si="8"/>
        <v>53072</v>
      </c>
      <c r="J36" s="57" t="s">
        <v>90</v>
      </c>
      <c r="K36" s="30"/>
      <c r="L36" s="28" t="s">
        <v>91</v>
      </c>
    </row>
    <row r="37" s="1" customFormat="1" ht="90" customHeight="1" spans="1:12">
      <c r="A37" s="36" t="s">
        <v>92</v>
      </c>
      <c r="B37" s="21" t="s">
        <v>93</v>
      </c>
      <c r="C37" s="22" t="s">
        <v>60</v>
      </c>
      <c r="D37" s="56">
        <f>151*133</f>
        <v>20083</v>
      </c>
      <c r="E37" s="24">
        <v>3</v>
      </c>
      <c r="F37" s="25">
        <v>16</v>
      </c>
      <c r="G37" s="23">
        <f t="shared" si="6"/>
        <v>16.48</v>
      </c>
      <c r="H37" s="26">
        <f t="shared" si="7"/>
        <v>321328</v>
      </c>
      <c r="I37" s="23">
        <f t="shared" si="8"/>
        <v>330967.84</v>
      </c>
      <c r="J37" s="57" t="s">
        <v>94</v>
      </c>
      <c r="K37" s="30"/>
      <c r="L37" s="31"/>
    </row>
    <row r="38" s="1" customFormat="1" ht="31" customHeight="1" spans="1:12">
      <c r="A38" s="36" t="s">
        <v>95</v>
      </c>
      <c r="B38" s="21" t="s">
        <v>96</v>
      </c>
      <c r="C38" s="22" t="s">
        <v>28</v>
      </c>
      <c r="D38" s="56">
        <f>(1*1*230*4)+(1*1*130*4)</f>
        <v>1440</v>
      </c>
      <c r="E38" s="24">
        <v>3</v>
      </c>
      <c r="F38" s="25">
        <v>120</v>
      </c>
      <c r="G38" s="23">
        <f t="shared" si="6"/>
        <v>123.6</v>
      </c>
      <c r="H38" s="26">
        <f t="shared" si="7"/>
        <v>172800</v>
      </c>
      <c r="I38" s="23">
        <f t="shared" si="8"/>
        <v>177984</v>
      </c>
      <c r="J38" s="58" t="s">
        <v>97</v>
      </c>
      <c r="K38" s="30"/>
      <c r="L38" s="31"/>
    </row>
    <row r="39" s="1" customFormat="1" ht="31" customHeight="1" spans="1:12">
      <c r="A39" s="36" t="s">
        <v>98</v>
      </c>
      <c r="B39" s="21" t="s">
        <v>99</v>
      </c>
      <c r="C39" s="22" t="s">
        <v>28</v>
      </c>
      <c r="D39" s="56">
        <f>(0.45*0.45*230*4)+(0.45*0.45*130*4)</f>
        <v>291.6</v>
      </c>
      <c r="E39" s="24">
        <v>3</v>
      </c>
      <c r="F39" s="25">
        <v>120</v>
      </c>
      <c r="G39" s="23">
        <f t="shared" si="6"/>
        <v>123.6</v>
      </c>
      <c r="H39" s="26">
        <f t="shared" si="7"/>
        <v>34992</v>
      </c>
      <c r="I39" s="23">
        <f t="shared" si="8"/>
        <v>36041.76</v>
      </c>
      <c r="J39" s="59"/>
      <c r="K39" s="30"/>
      <c r="L39" s="31"/>
    </row>
    <row r="40" s="1" customFormat="1" ht="82" customHeight="1" spans="1:12">
      <c r="A40" s="36" t="s">
        <v>100</v>
      </c>
      <c r="B40" s="21" t="s">
        <v>101</v>
      </c>
      <c r="C40" s="22" t="s">
        <v>16</v>
      </c>
      <c r="D40" s="56">
        <v>15493.4</v>
      </c>
      <c r="E40" s="24">
        <v>3</v>
      </c>
      <c r="F40" s="25">
        <v>0.55</v>
      </c>
      <c r="G40" s="23">
        <f t="shared" si="6"/>
        <v>0.57</v>
      </c>
      <c r="H40" s="26">
        <f t="shared" si="7"/>
        <v>8521.37</v>
      </c>
      <c r="I40" s="23">
        <f t="shared" si="8"/>
        <v>8831.24</v>
      </c>
      <c r="J40" s="57" t="s">
        <v>102</v>
      </c>
      <c r="K40" s="30"/>
      <c r="L40" s="31"/>
    </row>
    <row r="41" s="1" customFormat="1" ht="58" customHeight="1" spans="1:12">
      <c r="A41" s="36" t="s">
        <v>103</v>
      </c>
      <c r="B41" s="21" t="s">
        <v>104</v>
      </c>
      <c r="C41" s="22" t="s">
        <v>105</v>
      </c>
      <c r="D41" s="56">
        <f>5000*0.4*1.3</f>
        <v>2600</v>
      </c>
      <c r="E41" s="24">
        <v>3</v>
      </c>
      <c r="F41" s="25">
        <v>35</v>
      </c>
      <c r="G41" s="23">
        <f t="shared" si="6"/>
        <v>36.05</v>
      </c>
      <c r="H41" s="26">
        <f t="shared" si="7"/>
        <v>91000</v>
      </c>
      <c r="I41" s="23">
        <f t="shared" si="8"/>
        <v>93730</v>
      </c>
      <c r="J41" s="57" t="s">
        <v>106</v>
      </c>
      <c r="K41" s="30"/>
      <c r="L41" s="31"/>
    </row>
    <row r="42" s="1" customFormat="1" ht="54" customHeight="1" spans="1:12">
      <c r="A42" s="36" t="s">
        <v>107</v>
      </c>
      <c r="B42" s="21" t="s">
        <v>108</v>
      </c>
      <c r="C42" s="22" t="s">
        <v>60</v>
      </c>
      <c r="D42" s="56">
        <v>5000</v>
      </c>
      <c r="E42" s="24">
        <v>3</v>
      </c>
      <c r="F42" s="25">
        <v>16</v>
      </c>
      <c r="G42" s="23">
        <f t="shared" si="6"/>
        <v>16.48</v>
      </c>
      <c r="H42" s="26">
        <f t="shared" si="7"/>
        <v>80000</v>
      </c>
      <c r="I42" s="23">
        <f t="shared" si="8"/>
        <v>82400</v>
      </c>
      <c r="J42" s="58" t="s">
        <v>109</v>
      </c>
      <c r="K42" s="30"/>
      <c r="L42" s="31"/>
    </row>
    <row r="43" s="1" customFormat="1" ht="36" customHeight="1" spans="1:12">
      <c r="A43" s="36" t="s">
        <v>110</v>
      </c>
      <c r="B43" s="21" t="s">
        <v>111</v>
      </c>
      <c r="C43" s="22" t="s">
        <v>112</v>
      </c>
      <c r="D43" s="56">
        <v>21</v>
      </c>
      <c r="E43" s="24">
        <v>3</v>
      </c>
      <c r="F43" s="25">
        <v>3500</v>
      </c>
      <c r="G43" s="23">
        <f t="shared" si="6"/>
        <v>3605</v>
      </c>
      <c r="H43" s="26">
        <f t="shared" si="7"/>
        <v>73500</v>
      </c>
      <c r="I43" s="23">
        <f t="shared" si="8"/>
        <v>75705</v>
      </c>
      <c r="J43" s="58" t="s">
        <v>113</v>
      </c>
      <c r="K43" s="30"/>
      <c r="L43" s="31"/>
    </row>
    <row r="44" s="1" customFormat="1" ht="36" customHeight="1" spans="1:12">
      <c r="A44" s="36" t="s">
        <v>114</v>
      </c>
      <c r="B44" s="21" t="s">
        <v>115</v>
      </c>
      <c r="C44" s="22" t="s">
        <v>112</v>
      </c>
      <c r="D44" s="56">
        <v>6</v>
      </c>
      <c r="E44" s="24">
        <v>3</v>
      </c>
      <c r="F44" s="25">
        <v>4000</v>
      </c>
      <c r="G44" s="23">
        <f t="shared" si="6"/>
        <v>4120</v>
      </c>
      <c r="H44" s="26">
        <f t="shared" si="7"/>
        <v>24000</v>
      </c>
      <c r="I44" s="23">
        <f t="shared" si="8"/>
        <v>24720</v>
      </c>
      <c r="J44" s="60"/>
      <c r="K44" s="30"/>
      <c r="L44" s="31"/>
    </row>
    <row r="45" s="1" customFormat="1" ht="36" customHeight="1" spans="1:12">
      <c r="A45" s="36" t="s">
        <v>116</v>
      </c>
      <c r="B45" s="21" t="s">
        <v>117</v>
      </c>
      <c r="C45" s="22" t="s">
        <v>112</v>
      </c>
      <c r="D45" s="56">
        <v>6</v>
      </c>
      <c r="E45" s="24">
        <v>3</v>
      </c>
      <c r="F45" s="25">
        <v>3000</v>
      </c>
      <c r="G45" s="23">
        <f t="shared" si="6"/>
        <v>3090</v>
      </c>
      <c r="H45" s="26">
        <f t="shared" si="7"/>
        <v>18000</v>
      </c>
      <c r="I45" s="23">
        <f t="shared" si="8"/>
        <v>18540</v>
      </c>
      <c r="J45" s="59"/>
      <c r="K45" s="30"/>
      <c r="L45" s="31"/>
    </row>
    <row r="46" s="1" customFormat="1" ht="52" customHeight="1" spans="1:12">
      <c r="A46" s="36" t="s">
        <v>118</v>
      </c>
      <c r="B46" s="21" t="s">
        <v>119</v>
      </c>
      <c r="C46" s="22" t="s">
        <v>112</v>
      </c>
      <c r="D46" s="56">
        <v>36</v>
      </c>
      <c r="E46" s="24">
        <v>3</v>
      </c>
      <c r="F46" s="25">
        <v>120</v>
      </c>
      <c r="G46" s="23">
        <f t="shared" si="6"/>
        <v>123.6</v>
      </c>
      <c r="H46" s="26">
        <f t="shared" si="7"/>
        <v>4320</v>
      </c>
      <c r="I46" s="23">
        <f t="shared" si="8"/>
        <v>4449.6</v>
      </c>
      <c r="J46" s="57" t="s">
        <v>120</v>
      </c>
      <c r="K46" s="30"/>
      <c r="L46" s="31"/>
    </row>
    <row r="47" s="1" customFormat="1" ht="54" customHeight="1" spans="1:12">
      <c r="A47" s="36" t="s">
        <v>121</v>
      </c>
      <c r="B47" s="21" t="s">
        <v>122</v>
      </c>
      <c r="C47" s="22" t="s">
        <v>53</v>
      </c>
      <c r="D47" s="56">
        <v>500</v>
      </c>
      <c r="E47" s="24">
        <v>3</v>
      </c>
      <c r="F47" s="25">
        <v>20</v>
      </c>
      <c r="G47" s="23">
        <f t="shared" si="6"/>
        <v>20.6</v>
      </c>
      <c r="H47" s="26">
        <f t="shared" si="7"/>
        <v>10000</v>
      </c>
      <c r="I47" s="23">
        <f t="shared" si="8"/>
        <v>10300</v>
      </c>
      <c r="J47" s="57" t="s">
        <v>123</v>
      </c>
      <c r="K47" s="30"/>
      <c r="L47" s="31"/>
    </row>
    <row r="48" s="1" customFormat="1" ht="44" customHeight="1" spans="1:12">
      <c r="A48" s="36" t="s">
        <v>124</v>
      </c>
      <c r="B48" s="21" t="s">
        <v>125</v>
      </c>
      <c r="C48" s="22" t="s">
        <v>53</v>
      </c>
      <c r="D48" s="56">
        <v>50</v>
      </c>
      <c r="E48" s="24">
        <v>3</v>
      </c>
      <c r="F48" s="25">
        <v>110</v>
      </c>
      <c r="G48" s="23">
        <f t="shared" si="6"/>
        <v>113.3</v>
      </c>
      <c r="H48" s="26">
        <f t="shared" si="7"/>
        <v>5500</v>
      </c>
      <c r="I48" s="23">
        <f t="shared" si="8"/>
        <v>5665</v>
      </c>
      <c r="J48" s="57" t="s">
        <v>126</v>
      </c>
      <c r="K48" s="29"/>
      <c r="L48" s="35"/>
    </row>
    <row r="49" s="1" customFormat="1" ht="30" customHeight="1" spans="1:12">
      <c r="A49" s="61"/>
      <c r="B49" s="62"/>
      <c r="C49" s="21"/>
      <c r="D49" s="56"/>
      <c r="E49" s="21"/>
      <c r="F49" s="63"/>
      <c r="G49" s="23"/>
      <c r="H49" s="64">
        <f>SUM(H4:H48)</f>
        <v>27267981.76</v>
      </c>
      <c r="I49" s="64">
        <f>SUM(I4:I48)</f>
        <v>28096506.27</v>
      </c>
      <c r="J49" s="32"/>
      <c r="K49" s="44"/>
      <c r="L49" s="44"/>
    </row>
    <row r="50" s="1" customFormat="1" ht="356" customHeight="1" spans="1:12">
      <c r="A50" s="65" t="s">
        <v>127</v>
      </c>
      <c r="B50" s="65"/>
      <c r="C50" s="65"/>
      <c r="D50" s="66"/>
      <c r="E50" s="65"/>
      <c r="F50" s="65"/>
      <c r="G50" s="65"/>
      <c r="H50" s="65"/>
      <c r="I50" s="65"/>
      <c r="J50" s="65"/>
      <c r="K50" s="65"/>
      <c r="L50" s="67"/>
    </row>
    <row r="51" s="1" customFormat="1" customHeight="1" spans="1:12">
      <c r="A51" s="68"/>
      <c r="B51" s="69" t="s">
        <v>128</v>
      </c>
      <c r="C51" s="69"/>
      <c r="D51" s="66"/>
      <c r="E51" s="69"/>
      <c r="F51" s="69"/>
      <c r="G51" s="69"/>
      <c r="H51" s="69"/>
      <c r="I51" s="69"/>
      <c r="J51" s="69"/>
      <c r="K51" s="69"/>
      <c r="L51" s="70"/>
    </row>
    <row r="58" customHeight="1" spans="1:12">
      <c r="D58" s="8"/>
    </row>
    <row r="59" customHeight="1" spans="1:12">
      <c r="D59" s="5">
        <f>D4+D9+D13</f>
        <v>1274907.67</v>
      </c>
    </row>
    <row r="67" customHeight="1" spans="4:10">
      <c r="D67" s="8"/>
    </row>
    <row r="68" customHeight="1" spans="4:10">
      <c r="G68" s="5">
        <v>53974.76</v>
      </c>
    </row>
    <row r="69" customHeight="1" spans="4:10">
      <c r="D69" s="5">
        <f>D22+D25+D27</f>
        <v>1180342.96</v>
      </c>
    </row>
    <row r="71" customHeight="1" spans="4:10">
      <c r="F71" s="7">
        <v>1201499.66</v>
      </c>
    </row>
    <row r="72" customHeight="1" spans="4:10">
      <c r="F72" s="7">
        <f>F71-D69</f>
        <v>21156.7</v>
      </c>
    </row>
    <row r="80" customHeight="1" spans="4:10">
      <c r="J80" s="9" t="s">
        <v>129</v>
      </c>
    </row>
  </sheetData>
  <autoFilter xmlns:etc="http://www.wps.cn/officeDocument/2017/etCustomData" ref="A3:L51" etc:filterBottomFollowUsedRange="0">
    <extLst/>
  </autoFilter>
  <mergeCells count="22">
    <mergeCell ref="A1:L1"/>
    <mergeCell ref="A2:L2"/>
    <mergeCell ref="A50:L50"/>
    <mergeCell ref="B51:L51"/>
    <mergeCell ref="J4:J5"/>
    <mergeCell ref="J9:J10"/>
    <mergeCell ref="J13:J14"/>
    <mergeCell ref="J23:J24"/>
    <mergeCell ref="J26:J27"/>
    <mergeCell ref="J30:J31"/>
    <mergeCell ref="J38:J39"/>
    <mergeCell ref="J43:J45"/>
    <mergeCell ref="K4:K48"/>
    <mergeCell ref="L4:L8"/>
    <mergeCell ref="L9:L12"/>
    <mergeCell ref="L13:L17"/>
    <mergeCell ref="L18:L21"/>
    <mergeCell ref="L22:L24"/>
    <mergeCell ref="L25:L29"/>
    <mergeCell ref="L30:L31"/>
    <mergeCell ref="L32:L35"/>
    <mergeCell ref="L36:L48"/>
  </mergeCells>
  <pageMargins left="0.7" right="0.7" top="0.75" bottom="0.75" header="0.3" footer="0.3"/>
  <pageSetup paperSize="9" scale="42" orientation="landscape"/>
  <headerFooter/>
  <rowBreaks count="1" manualBreakCount="1">
    <brk id="35" max="11" man="1"/>
  </rowBreaks>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修改 </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潘欣</dc:creator>
  <cp:lastModifiedBy>没有脚的鸟</cp:lastModifiedBy>
  <dcterms:created xsi:type="dcterms:W3CDTF">2026-03-19T02:55:00Z</dcterms:created>
  <dcterms:modified xsi:type="dcterms:W3CDTF">2026-04-08T02:15:17Z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74EC82315DEC4E9B847693AD26DEFBA8_13</vt:lpwstr>
  </property>
  <property fmtid="{D5CDD505-2E9C-101B-9397-08002B2CF9AE}" pid="3" name="KSOProductBuildVer">
    <vt:lpwstr>2052-12.1.0.25225</vt:lpwstr>
  </property>
  <property fmtid="{D5CDD505-2E9C-101B-9397-08002B2CF9AE}" pid="4" name="CalculationRule">
    <vt:i4>1</vt:i4>
  </property>
  <property fmtid="{D5CDD505-2E9C-101B-9397-08002B2CF9AE}" pid="5" name="KSOReadingLayout">
    <vt:bool>true</vt:bool>
  </property>
</Properties>
</file>